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Naira.Bubushyan\Desktop\Զբաղվածութ․ ռազմավար․ գործողությունների ծրագիր\"/>
    </mc:Choice>
  </mc:AlternateContent>
  <bookViews>
    <workbookView xWindow="0" yWindow="0" windowWidth="13575" windowHeight="11535" activeTab="5"/>
  </bookViews>
  <sheets>
    <sheet name="Strategic level" sheetId="1" r:id="rId1"/>
    <sheet name="StG 1" sheetId="10" r:id="rId2"/>
    <sheet name="StG 2" sheetId="11" r:id="rId3"/>
    <sheet name="StG 3" sheetId="12" r:id="rId4"/>
    <sheet name="StG 4" sheetId="13" r:id="rId5"/>
    <sheet name="StG 5" sheetId="14" r:id="rId6"/>
    <sheet name="Variables" sheetId="15" state="hidden" r:id="rId7"/>
    <sheet name="NPV" sheetId="17" state="hidden" r:id="rId8"/>
    <sheet name="Summary tables" sheetId="16" state="hidden" r:id="rId9"/>
  </sheets>
  <externalReferences>
    <externalReference r:id="rId10"/>
  </externalReferences>
  <definedNames>
    <definedName name="_xlnm._FilterDatabase" localSheetId="1" hidden="1">'StG 1'!$B$2:$AM$129</definedName>
    <definedName name="_xlnm._FilterDatabase" localSheetId="2" hidden="1">'StG 2'!$B$2:$AM$53</definedName>
    <definedName name="_xlnm._FilterDatabase" localSheetId="3" hidden="1">'StG 3'!$B$2:$AM$50</definedName>
    <definedName name="_xlnm._FilterDatabase" localSheetId="4" hidden="1">'StG 4'!$B$2:$AM$20</definedName>
    <definedName name="_xlnm._FilterDatabase" localSheetId="5" hidden="1">'StG 5'!$B$2:$AM$40</definedName>
    <definedName name="solver_adj" localSheetId="7" hidden="1">NPV!#REF!</definedName>
    <definedName name="solver_cvg" localSheetId="7" hidden="1">0.0001</definedName>
    <definedName name="solver_drv" localSheetId="7" hidden="1">1</definedName>
    <definedName name="solver_eng" localSheetId="7" hidden="1">1</definedName>
    <definedName name="solver_est" localSheetId="7" hidden="1">1</definedName>
    <definedName name="solver_itr" localSheetId="7" hidden="1">2147483647</definedName>
    <definedName name="solver_mip" localSheetId="7" hidden="1">2147483647</definedName>
    <definedName name="solver_mni" localSheetId="7" hidden="1">30</definedName>
    <definedName name="solver_mrt" localSheetId="7" hidden="1">0.075</definedName>
    <definedName name="solver_msl" localSheetId="7" hidden="1">2</definedName>
    <definedName name="solver_neg" localSheetId="7" hidden="1">1</definedName>
    <definedName name="solver_nod" localSheetId="7" hidden="1">2147483647</definedName>
    <definedName name="solver_num" localSheetId="7" hidden="1">0</definedName>
    <definedName name="solver_nwt" localSheetId="7" hidden="1">1</definedName>
    <definedName name="solver_opt" localSheetId="7" hidden="1">NPV!#REF!</definedName>
    <definedName name="solver_pre" localSheetId="7" hidden="1">0.000001</definedName>
    <definedName name="solver_rbv" localSheetId="7" hidden="1">1</definedName>
    <definedName name="solver_rlx" localSheetId="7" hidden="1">2</definedName>
    <definedName name="solver_rsd" localSheetId="7" hidden="1">0</definedName>
    <definedName name="solver_scl" localSheetId="7" hidden="1">1</definedName>
    <definedName name="solver_sho" localSheetId="7" hidden="1">2</definedName>
    <definedName name="solver_ssz" localSheetId="7" hidden="1">100</definedName>
    <definedName name="solver_tim" localSheetId="7" hidden="1">2147483647</definedName>
    <definedName name="solver_tol" localSheetId="7" hidden="1">0.01</definedName>
    <definedName name="solver_typ" localSheetId="7" hidden="1">3</definedName>
    <definedName name="solver_val" localSheetId="7" hidden="1">0</definedName>
    <definedName name="solver_ver" localSheetId="7" hidden="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 i="14" l="1"/>
  <c r="AJ34" i="14"/>
  <c r="AF34" i="14"/>
  <c r="AJ37" i="14"/>
  <c r="AI37" i="14"/>
  <c r="AH37" i="14"/>
  <c r="AG37" i="14"/>
  <c r="AF37" i="14"/>
  <c r="G3" i="13" l="1"/>
  <c r="H3" i="13"/>
  <c r="I3" i="13" s="1"/>
  <c r="J3" i="13" s="1"/>
  <c r="K3" i="13" s="1"/>
  <c r="F3" i="13"/>
  <c r="F3" i="12"/>
  <c r="G3" i="12" s="1"/>
  <c r="H3" i="12" s="1"/>
  <c r="I3" i="12" s="1"/>
  <c r="J3" i="12" s="1"/>
  <c r="K3" i="12" s="1"/>
  <c r="F3" i="11"/>
  <c r="G3" i="11" s="1"/>
  <c r="H3" i="11" s="1"/>
  <c r="I3" i="11" s="1"/>
  <c r="J3" i="11" s="1"/>
  <c r="K3" i="11" s="1"/>
  <c r="F3" i="14" l="1"/>
  <c r="G3" i="14" s="1"/>
  <c r="H3" i="14" s="1"/>
  <c r="I3" i="14" s="1"/>
  <c r="J3" i="14" s="1"/>
  <c r="K3" i="14" s="1"/>
  <c r="AE32" i="14"/>
  <c r="AK32" i="14" s="1"/>
  <c r="AK20" i="12" l="1"/>
  <c r="AJ20" i="12"/>
  <c r="AI20" i="12"/>
  <c r="AH20" i="12"/>
  <c r="AF20" i="12"/>
  <c r="AE20" i="12"/>
  <c r="AD20" i="12"/>
  <c r="AG20" i="12"/>
  <c r="AG19" i="12"/>
  <c r="AG4" i="12"/>
  <c r="H4" i="1" l="1"/>
  <c r="X3" i="1" l="1"/>
  <c r="Y3" i="1" s="1"/>
  <c r="Z3" i="1" s="1"/>
  <c r="AA3" i="1" s="1"/>
  <c r="AB3" i="1" s="1"/>
  <c r="AC3" i="1" s="1"/>
  <c r="N3" i="1"/>
  <c r="O3" i="1" s="1"/>
  <c r="P3" i="1" s="1"/>
  <c r="Q3" i="1" s="1"/>
  <c r="R3" i="1" s="1"/>
  <c r="S3" i="1" s="1"/>
  <c r="T3" i="1" s="1"/>
  <c r="U3" i="1" s="1"/>
  <c r="N69" i="1"/>
  <c r="N55" i="1"/>
  <c r="N49" i="1"/>
  <c r="N47" i="1"/>
  <c r="N12" i="1"/>
  <c r="N6" i="1"/>
  <c r="N72" i="1"/>
  <c r="AE3" i="14"/>
  <c r="AF3" i="14" s="1"/>
  <c r="AG3" i="14" s="1"/>
  <c r="AH3" i="14" s="1"/>
  <c r="AI3" i="14" s="1"/>
  <c r="AJ3" i="14" s="1"/>
  <c r="V3" i="14"/>
  <c r="W3" i="14" s="1"/>
  <c r="X3" i="14" s="1"/>
  <c r="Y3" i="14" s="1"/>
  <c r="Z3" i="14" s="1"/>
  <c r="AA3" i="14" s="1"/>
  <c r="AB3" i="14" s="1"/>
  <c r="AC3" i="14" s="1"/>
  <c r="AE3" i="13"/>
  <c r="AF3" i="13" s="1"/>
  <c r="AG3" i="13" s="1"/>
  <c r="AH3" i="13" s="1"/>
  <c r="AI3" i="13" s="1"/>
  <c r="AJ3" i="13" s="1"/>
  <c r="V3" i="13"/>
  <c r="W3" i="13" s="1"/>
  <c r="X3" i="13" s="1"/>
  <c r="Y3" i="13" s="1"/>
  <c r="Z3" i="13" s="1"/>
  <c r="AA3" i="13" s="1"/>
  <c r="AB3" i="13" s="1"/>
  <c r="AC3" i="13" s="1"/>
  <c r="V16" i="13"/>
  <c r="AE3" i="12"/>
  <c r="AF3" i="12" s="1"/>
  <c r="AG3" i="12" s="1"/>
  <c r="AH3" i="12" s="1"/>
  <c r="AI3" i="12" s="1"/>
  <c r="AJ3" i="12" s="1"/>
  <c r="V3" i="12"/>
  <c r="W3" i="12" s="1"/>
  <c r="X3" i="12" s="1"/>
  <c r="Y3" i="12" s="1"/>
  <c r="Z3" i="12" s="1"/>
  <c r="AA3" i="12" s="1"/>
  <c r="AB3" i="12" s="1"/>
  <c r="AC3" i="12" s="1"/>
  <c r="V32" i="12"/>
  <c r="V26" i="12"/>
  <c r="AG11" i="11"/>
  <c r="AE3" i="11"/>
  <c r="AF3" i="11" s="1"/>
  <c r="AG3" i="11" s="1"/>
  <c r="AH3" i="11" s="1"/>
  <c r="AI3" i="11" s="1"/>
  <c r="AJ3" i="11" s="1"/>
  <c r="V3" i="11"/>
  <c r="W3" i="11" s="1"/>
  <c r="X3" i="11" s="1"/>
  <c r="Y3" i="11" s="1"/>
  <c r="Z3" i="11" s="1"/>
  <c r="AA3" i="11" s="1"/>
  <c r="AB3" i="11" s="1"/>
  <c r="AC3" i="11" s="1"/>
  <c r="V34" i="11"/>
  <c r="V27" i="11"/>
  <c r="V26" i="11"/>
  <c r="V25" i="11"/>
  <c r="AE25" i="10"/>
  <c r="AE3" i="10"/>
  <c r="AF3" i="10" s="1"/>
  <c r="AG3" i="10" s="1"/>
  <c r="AH3" i="10" s="1"/>
  <c r="AI3" i="10" s="1"/>
  <c r="AJ3" i="10" s="1"/>
  <c r="V3" i="10"/>
  <c r="W3" i="10" s="1"/>
  <c r="X3" i="10" s="1"/>
  <c r="Y3" i="10" s="1"/>
  <c r="Z3" i="10" s="1"/>
  <c r="AA3" i="10" s="1"/>
  <c r="AB3" i="10" s="1"/>
  <c r="AC3" i="10" s="1"/>
  <c r="U122" i="10" l="1"/>
  <c r="W122" i="10" l="1"/>
  <c r="X122" i="10" s="1"/>
  <c r="Y122" i="10" s="1"/>
  <c r="Z122" i="10" s="1"/>
  <c r="AA122" i="10" s="1"/>
  <c r="AB122" i="10" s="1"/>
  <c r="AC122" i="10" s="1"/>
  <c r="V122" i="10"/>
  <c r="B47" i="16"/>
  <c r="B34" i="16" l="1"/>
  <c r="B35" i="16"/>
  <c r="B36" i="16"/>
  <c r="B39" i="16"/>
  <c r="B40" i="16"/>
  <c r="B41" i="16"/>
  <c r="B45" i="16"/>
  <c r="C45" i="16"/>
  <c r="D45" i="16"/>
  <c r="B46" i="16"/>
  <c r="B174" i="16" l="1"/>
  <c r="C171" i="16"/>
  <c r="D171" i="16" s="1"/>
  <c r="E171" i="16" s="1"/>
  <c r="F171" i="16" s="1"/>
  <c r="G171" i="16" s="1"/>
  <c r="H171" i="16" s="1"/>
  <c r="C170" i="16"/>
  <c r="D170" i="16" s="1"/>
  <c r="E170" i="16" s="1"/>
  <c r="F170" i="16" s="1"/>
  <c r="G170" i="16" s="1"/>
  <c r="H170" i="16" s="1"/>
  <c r="C169" i="16"/>
  <c r="D169" i="16" s="1"/>
  <c r="E169" i="16" s="1"/>
  <c r="F169" i="16" s="1"/>
  <c r="G169" i="16" s="1"/>
  <c r="H169" i="16" s="1"/>
  <c r="C168" i="16"/>
  <c r="D168" i="16" s="1"/>
  <c r="E168" i="16" s="1"/>
  <c r="F168" i="16" s="1"/>
  <c r="G168" i="16" s="1"/>
  <c r="H168" i="16" s="1"/>
  <c r="C167" i="16"/>
  <c r="C166" i="16"/>
  <c r="D166" i="16" s="1"/>
  <c r="E166" i="16" s="1"/>
  <c r="F166" i="16" s="1"/>
  <c r="G166" i="16" s="1"/>
  <c r="H166" i="16" s="1"/>
  <c r="C165" i="16"/>
  <c r="D165" i="16" s="1"/>
  <c r="E165" i="16" s="1"/>
  <c r="F165" i="16" s="1"/>
  <c r="G165" i="16" s="1"/>
  <c r="H165" i="16" s="1"/>
  <c r="C174" i="16" l="1"/>
  <c r="D167" i="16"/>
  <c r="E167" i="16" s="1"/>
  <c r="F167" i="16" s="1"/>
  <c r="G167" i="16" s="1"/>
  <c r="H167" i="16" s="1"/>
  <c r="H174" i="16" s="1"/>
  <c r="S21" i="17"/>
  <c r="R21" i="17"/>
  <c r="Q21" i="17"/>
  <c r="P21" i="17"/>
  <c r="O21" i="17"/>
  <c r="Q10" i="17"/>
  <c r="R10" i="17" s="1"/>
  <c r="G174" i="16" l="1"/>
  <c r="F174" i="16"/>
  <c r="E174" i="16"/>
  <c r="D174" i="16"/>
  <c r="J174" i="16" l="1"/>
  <c r="E31" i="17" l="1"/>
  <c r="F31" i="17" s="1"/>
  <c r="G31" i="17" s="1"/>
  <c r="H31" i="17" s="1"/>
  <c r="I31" i="17" s="1"/>
  <c r="J31" i="17" s="1"/>
  <c r="K31" i="17" s="1"/>
  <c r="L31" i="17" s="1"/>
  <c r="O31" i="17" s="1"/>
  <c r="P31" i="17" s="1"/>
  <c r="Q31" i="17" s="1"/>
  <c r="R31" i="17" s="1"/>
  <c r="S31" i="17" s="1"/>
  <c r="M65" i="1"/>
  <c r="M43" i="1"/>
  <c r="O65" i="1" l="1"/>
  <c r="P65" i="1" s="1"/>
  <c r="Q65" i="1" s="1"/>
  <c r="R65" i="1" s="1"/>
  <c r="S65" i="1" s="1"/>
  <c r="T65" i="1" s="1"/>
  <c r="U65" i="1" s="1"/>
  <c r="N65" i="1"/>
  <c r="H42" i="17"/>
  <c r="H44" i="17" s="1"/>
  <c r="E42" i="17"/>
  <c r="E44" i="17" s="1"/>
  <c r="I42" i="17"/>
  <c r="I44" i="17" s="1"/>
  <c r="L42" i="17"/>
  <c r="O42" i="17" s="1"/>
  <c r="P42" i="17" s="1"/>
  <c r="K42" i="17"/>
  <c r="K44" i="17" s="1"/>
  <c r="G42" i="17"/>
  <c r="G44" i="17" s="1"/>
  <c r="J42" i="17"/>
  <c r="J44" i="17" s="1"/>
  <c r="F42" i="17"/>
  <c r="F44" i="17" s="1"/>
  <c r="O44" i="17" l="1"/>
  <c r="L44" i="17"/>
  <c r="Q42" i="17"/>
  <c r="P44" i="17"/>
  <c r="K64" i="1"/>
  <c r="R42" i="17" l="1"/>
  <c r="Q44" i="17"/>
  <c r="S42" i="17" l="1"/>
  <c r="S44" i="17" s="1"/>
  <c r="R44" i="17"/>
  <c r="D111" i="16"/>
  <c r="D110" i="16" s="1"/>
  <c r="B90" i="16"/>
  <c r="E87" i="16" l="1"/>
  <c r="E111" i="16" s="1"/>
  <c r="D107" i="16"/>
  <c r="E109" i="16" l="1"/>
  <c r="E110" i="16" s="1"/>
  <c r="Q107" i="16"/>
  <c r="D113" i="16"/>
  <c r="M107" i="16" s="1"/>
  <c r="B138" i="16" l="1"/>
  <c r="B139" i="16"/>
  <c r="B140" i="16" s="1"/>
  <c r="F75" i="17"/>
  <c r="F68" i="17"/>
  <c r="F62" i="17"/>
  <c r="F56" i="17"/>
  <c r="F54" i="17"/>
  <c r="F53" i="17" s="1"/>
  <c r="F52" i="17"/>
  <c r="F51" i="17" s="1"/>
  <c r="F24" i="17"/>
  <c r="E24" i="17"/>
  <c r="E23" i="17" s="1"/>
  <c r="H21" i="17"/>
  <c r="E21" i="17"/>
  <c r="E18" i="17"/>
  <c r="E19" i="17" s="1"/>
  <c r="E15" i="17"/>
  <c r="E14" i="17"/>
  <c r="F7" i="17"/>
  <c r="G7" i="17"/>
  <c r="E7" i="17"/>
  <c r="E6" i="17" s="1"/>
  <c r="F3" i="17"/>
  <c r="G3" i="17"/>
  <c r="E3" i="17"/>
  <c r="E2" i="17" s="1"/>
  <c r="M93" i="17"/>
  <c r="F61" i="17"/>
  <c r="F23" i="17"/>
  <c r="L21" i="17"/>
  <c r="K21" i="17"/>
  <c r="J21" i="17"/>
  <c r="I21" i="17"/>
  <c r="G21" i="17"/>
  <c r="F21" i="17"/>
  <c r="F12" i="17"/>
  <c r="F14" i="17" s="1"/>
  <c r="L11" i="17"/>
  <c r="K11" i="17"/>
  <c r="J11" i="17"/>
  <c r="I11" i="17"/>
  <c r="H11" i="17"/>
  <c r="G11" i="17"/>
  <c r="F11" i="17"/>
  <c r="F9" i="17"/>
  <c r="G9" i="17" s="1"/>
  <c r="H9" i="17" s="1"/>
  <c r="F8" i="17"/>
  <c r="G8" i="17" s="1"/>
  <c r="H8" i="17" s="1"/>
  <c r="I8" i="17" s="1"/>
  <c r="J8" i="17" s="1"/>
  <c r="K8" i="17" s="1"/>
  <c r="L8" i="17" s="1"/>
  <c r="F5" i="17"/>
  <c r="F4" i="17"/>
  <c r="G4" i="17" s="1"/>
  <c r="H4" i="17" s="1"/>
  <c r="I4" i="17" s="1"/>
  <c r="J4" i="17" s="1"/>
  <c r="K4" i="17" s="1"/>
  <c r="L4" i="17" s="1"/>
  <c r="C89" i="16"/>
  <c r="D89" i="16"/>
  <c r="E82" i="16" s="1"/>
  <c r="C90" i="16"/>
  <c r="D90" i="16"/>
  <c r="C91" i="16"/>
  <c r="D91" i="16"/>
  <c r="C92" i="16"/>
  <c r="D92" i="16"/>
  <c r="C93" i="16"/>
  <c r="D93" i="16"/>
  <c r="E86" i="16" s="1"/>
  <c r="B91" i="16"/>
  <c r="B92" i="16"/>
  <c r="B93" i="16"/>
  <c r="B89" i="16"/>
  <c r="F87" i="16"/>
  <c r="F111" i="16" s="1"/>
  <c r="D76" i="16"/>
  <c r="G78" i="16"/>
  <c r="H78" i="16" s="1"/>
  <c r="I78" i="16" s="1"/>
  <c r="J78" i="16" s="1"/>
  <c r="K78" i="16" s="1"/>
  <c r="L78" i="16" s="1"/>
  <c r="M78" i="16" s="1"/>
  <c r="N78" i="16" s="1"/>
  <c r="F76" i="16"/>
  <c r="B76" i="16"/>
  <c r="E76" i="16"/>
  <c r="C76" i="16"/>
  <c r="F109" i="16" l="1"/>
  <c r="F110" i="16" s="1"/>
  <c r="F2" i="17"/>
  <c r="F6" i="17"/>
  <c r="E10" i="17"/>
  <c r="G6" i="17"/>
  <c r="F85" i="16"/>
  <c r="E85" i="16"/>
  <c r="B136" i="16"/>
  <c r="G12" i="17"/>
  <c r="G15" i="17" s="1"/>
  <c r="F15" i="17"/>
  <c r="F10" i="17" s="1"/>
  <c r="I9" i="17"/>
  <c r="J9" i="17" s="1"/>
  <c r="G5" i="17"/>
  <c r="E84" i="16"/>
  <c r="F84" i="16"/>
  <c r="E83" i="16"/>
  <c r="F83" i="16"/>
  <c r="F86" i="16"/>
  <c r="F82" i="16"/>
  <c r="G87" i="16"/>
  <c r="G111" i="16" s="1"/>
  <c r="G76" i="16"/>
  <c r="G109" i="16" l="1"/>
  <c r="G110" i="16" s="1"/>
  <c r="K9" i="17"/>
  <c r="H12" i="17"/>
  <c r="G14" i="17"/>
  <c r="G10" i="17" s="1"/>
  <c r="G2" i="17"/>
  <c r="H5" i="17"/>
  <c r="G85" i="16"/>
  <c r="G82" i="16"/>
  <c r="G86" i="16"/>
  <c r="G83" i="16"/>
  <c r="G84" i="16"/>
  <c r="H87" i="16"/>
  <c r="H111" i="16" s="1"/>
  <c r="H109" i="16" l="1"/>
  <c r="H110" i="16" s="1"/>
  <c r="H14" i="17"/>
  <c r="H15" i="17"/>
  <c r="L9" i="17"/>
  <c r="I5" i="17"/>
  <c r="I12" i="17"/>
  <c r="H84" i="16"/>
  <c r="H85" i="16"/>
  <c r="H82" i="16"/>
  <c r="H86" i="16"/>
  <c r="H83" i="16"/>
  <c r="I87" i="16"/>
  <c r="I111" i="16" s="1"/>
  <c r="I109" i="16" l="1"/>
  <c r="I110" i="16"/>
  <c r="H10" i="17"/>
  <c r="J5" i="17"/>
  <c r="I14" i="17"/>
  <c r="J12" i="17"/>
  <c r="I15" i="17"/>
  <c r="I83" i="16"/>
  <c r="I84" i="16"/>
  <c r="I85" i="16"/>
  <c r="I82" i="16"/>
  <c r="I86" i="16"/>
  <c r="J87" i="16"/>
  <c r="J111" i="16" s="1"/>
  <c r="J109" i="16" l="1"/>
  <c r="J110" i="16" s="1"/>
  <c r="I10" i="17"/>
  <c r="K5" i="17"/>
  <c r="J14" i="17"/>
  <c r="K12" i="17"/>
  <c r="J15" i="17"/>
  <c r="J82" i="16"/>
  <c r="J86" i="16"/>
  <c r="J83" i="16"/>
  <c r="J84" i="16"/>
  <c r="J85" i="16"/>
  <c r="J10" i="17" l="1"/>
  <c r="L12" i="17"/>
  <c r="L15" i="17" s="1"/>
  <c r="K15" i="17"/>
  <c r="K14" i="17"/>
  <c r="L5" i="17"/>
  <c r="K10" i="17" l="1"/>
  <c r="L14" i="17"/>
  <c r="L10" i="17" s="1"/>
  <c r="O10" i="17" s="1"/>
  <c r="P10" i="17" s="1"/>
  <c r="S10" i="17" s="1"/>
  <c r="C71" i="16" l="1"/>
  <c r="D71" i="16"/>
  <c r="E71" i="16"/>
  <c r="F71" i="16"/>
  <c r="G71" i="16"/>
  <c r="H71" i="16"/>
  <c r="I71" i="16"/>
  <c r="J71" i="16"/>
  <c r="K71" i="16"/>
  <c r="L71" i="16"/>
  <c r="M71" i="16"/>
  <c r="N71" i="16"/>
  <c r="B71" i="16"/>
  <c r="C64" i="16" l="1"/>
  <c r="D64" i="16"/>
  <c r="E64" i="16"/>
  <c r="F64" i="16"/>
  <c r="B64" i="16"/>
  <c r="C63" i="16"/>
  <c r="D63" i="16"/>
  <c r="E63" i="16"/>
  <c r="F63" i="16"/>
  <c r="B63" i="16"/>
  <c r="C61" i="16"/>
  <c r="D61" i="16"/>
  <c r="E61" i="16"/>
  <c r="F61" i="16"/>
  <c r="B61" i="16"/>
  <c r="C58" i="16"/>
  <c r="D58" i="16"/>
  <c r="E58" i="16"/>
  <c r="F58" i="16"/>
  <c r="B58" i="16"/>
  <c r="C50" i="16"/>
  <c r="D50" i="16"/>
  <c r="E50" i="16"/>
  <c r="F50" i="16"/>
  <c r="B50" i="16"/>
  <c r="C22" i="16"/>
  <c r="D22" i="16"/>
  <c r="E22" i="16"/>
  <c r="F22" i="16"/>
  <c r="G22" i="16"/>
  <c r="H22" i="16"/>
  <c r="B28" i="16"/>
  <c r="B16" i="16"/>
  <c r="B17" i="16"/>
  <c r="B18" i="16"/>
  <c r="D96" i="16" l="1"/>
  <c r="C96" i="16"/>
  <c r="E96" i="16"/>
  <c r="AD39" i="14" l="1"/>
  <c r="AE35" i="14"/>
  <c r="AD35" i="14"/>
  <c r="AF31" i="14"/>
  <c r="AF30" i="14" s="1"/>
  <c r="AE31" i="14"/>
  <c r="AE30" i="14" s="1"/>
  <c r="AD31" i="14"/>
  <c r="AD30" i="14" s="1"/>
  <c r="AE26" i="14"/>
  <c r="AE25" i="14"/>
  <c r="AE24" i="14"/>
  <c r="AK24" i="14" s="1"/>
  <c r="AE23" i="14"/>
  <c r="AD23" i="14"/>
  <c r="AK23" i="14" s="1"/>
  <c r="AG20" i="14"/>
  <c r="AF20" i="14"/>
  <c r="AE20" i="14"/>
  <c r="AK20" i="14" s="1"/>
  <c r="AD19" i="14"/>
  <c r="AF18" i="14"/>
  <c r="AK18" i="14" s="1"/>
  <c r="AD16" i="14"/>
  <c r="AE19" i="14" l="1"/>
  <c r="AD14" i="14"/>
  <c r="AK14" i="14" s="1"/>
  <c r="AE10" i="14"/>
  <c r="AK10" i="14" s="1"/>
  <c r="AD8" i="14"/>
  <c r="AF19" i="13"/>
  <c r="D47" i="16" s="1"/>
  <c r="AE19" i="13"/>
  <c r="C47" i="16" s="1"/>
  <c r="AD18" i="13"/>
  <c r="B22" i="16" s="1"/>
  <c r="I22" i="16" s="1"/>
  <c r="AF12" i="13"/>
  <c r="AE12" i="13"/>
  <c r="AD44" i="12"/>
  <c r="AI35" i="12"/>
  <c r="AH35" i="12"/>
  <c r="AG35" i="12"/>
  <c r="AF35" i="12"/>
  <c r="AE17" i="12"/>
  <c r="AF17" i="12"/>
  <c r="AG17" i="12"/>
  <c r="AH17" i="12"/>
  <c r="AI17" i="12"/>
  <c r="AJ17" i="12"/>
  <c r="AD17" i="12"/>
  <c r="AK8" i="14" l="1"/>
  <c r="AD7" i="14"/>
  <c r="AD43" i="11"/>
  <c r="AE32" i="11"/>
  <c r="AD32" i="11"/>
  <c r="AE30" i="11"/>
  <c r="AJ22" i="11"/>
  <c r="AP22" i="11" s="1"/>
  <c r="AQ22" i="11" s="1"/>
  <c r="AR22" i="11" s="1"/>
  <c r="AS22" i="11" s="1"/>
  <c r="AT22" i="11" s="1"/>
  <c r="AE22" i="11"/>
  <c r="AF22" i="11"/>
  <c r="AG22" i="11"/>
  <c r="AH22" i="11"/>
  <c r="AI22" i="11"/>
  <c r="AD22" i="11"/>
  <c r="B26" i="16" s="1"/>
  <c r="AF19" i="11"/>
  <c r="AE12" i="11"/>
  <c r="AD117" i="10"/>
  <c r="AD113" i="10"/>
  <c r="B44" i="16" s="1"/>
  <c r="AF72" i="10"/>
  <c r="H75" i="17" s="1"/>
  <c r="H76" i="17" s="1"/>
  <c r="H77" i="17" s="1"/>
  <c r="H78" i="17" s="1"/>
  <c r="H79" i="17" s="1"/>
  <c r="H74" i="17" s="1"/>
  <c r="AE72" i="10"/>
  <c r="G75" i="17" s="1"/>
  <c r="AE71" i="10"/>
  <c r="C41" i="16" s="1"/>
  <c r="AE69" i="10"/>
  <c r="AD34" i="10"/>
  <c r="B33" i="16" s="1"/>
  <c r="AD33" i="10"/>
  <c r="B37" i="16" s="1"/>
  <c r="AE26" i="10"/>
  <c r="AE14" i="10"/>
  <c r="B42" i="16" l="1"/>
  <c r="B19" i="16"/>
  <c r="B25" i="16"/>
  <c r="B27" i="16"/>
  <c r="B15" i="16"/>
  <c r="C139" i="16"/>
  <c r="G68" i="17"/>
  <c r="B96" i="16" l="1"/>
  <c r="H77" i="16"/>
  <c r="H76" i="16" s="1"/>
  <c r="B14" i="16"/>
  <c r="G96" i="16" s="1"/>
  <c r="G69" i="17"/>
  <c r="G73" i="17"/>
  <c r="C138" i="16"/>
  <c r="C140" i="16"/>
  <c r="D141" i="16" s="1"/>
  <c r="F96" i="16"/>
  <c r="AF50" i="12"/>
  <c r="AG50" i="12"/>
  <c r="AH50" i="12"/>
  <c r="AI50" i="12"/>
  <c r="AJ50" i="12"/>
  <c r="AK50" i="12"/>
  <c r="AE50" i="12"/>
  <c r="E141" i="16" l="1"/>
  <c r="G70" i="17"/>
  <c r="G71" i="17" s="1"/>
  <c r="G72" i="17" s="1"/>
  <c r="G67" i="17" s="1"/>
  <c r="AE16" i="14"/>
  <c r="W19" i="13"/>
  <c r="AF15" i="13"/>
  <c r="AF14" i="13" s="1"/>
  <c r="AE15" i="13"/>
  <c r="AE14" i="13" s="1"/>
  <c r="AD15" i="13"/>
  <c r="AD14" i="13" s="1"/>
  <c r="M77" i="1"/>
  <c r="AE39" i="14"/>
  <c r="AF39" i="14" s="1"/>
  <c r="AG31" i="14"/>
  <c r="AG30" i="14" s="1"/>
  <c r="AK25" i="14"/>
  <c r="AF19" i="14"/>
  <c r="M73" i="1"/>
  <c r="R72" i="1"/>
  <c r="Z20" i="13" s="1"/>
  <c r="AG20" i="13" s="1"/>
  <c r="Y10" i="13"/>
  <c r="Y11" i="13" s="1"/>
  <c r="AF11" i="13" s="1"/>
  <c r="X10" i="13"/>
  <c r="T37" i="12"/>
  <c r="AE35" i="12"/>
  <c r="AC37" i="11"/>
  <c r="AC38" i="11" s="1"/>
  <c r="AJ37" i="11" s="1"/>
  <c r="AP37" i="11" s="1"/>
  <c r="AQ37" i="11" s="1"/>
  <c r="AR37" i="11" s="1"/>
  <c r="AS37" i="11" s="1"/>
  <c r="AT37" i="11" s="1"/>
  <c r="AB37" i="11"/>
  <c r="AB38" i="11" s="1"/>
  <c r="AA37" i="11"/>
  <c r="AA38" i="11" s="1"/>
  <c r="AH37" i="11" s="1"/>
  <c r="Z37" i="11"/>
  <c r="Z38" i="11" s="1"/>
  <c r="AG37" i="11" s="1"/>
  <c r="AG36" i="11" s="1"/>
  <c r="Y37" i="11"/>
  <c r="Y38" i="11" s="1"/>
  <c r="AF37" i="11" s="1"/>
  <c r="AF36" i="11" s="1"/>
  <c r="X37" i="11"/>
  <c r="X38" i="11" s="1"/>
  <c r="AE37" i="11" s="1"/>
  <c r="AE36" i="11" s="1"/>
  <c r="AE43" i="11"/>
  <c r="AD36" i="11"/>
  <c r="AE11" i="11"/>
  <c r="U35" i="11"/>
  <c r="X28" i="11"/>
  <c r="AE28" i="11" s="1"/>
  <c r="AG19" i="11"/>
  <c r="AC15" i="11"/>
  <c r="AB15" i="11"/>
  <c r="AA15" i="11"/>
  <c r="Z15" i="11"/>
  <c r="Y15" i="11"/>
  <c r="W9" i="11"/>
  <c r="X9" i="11"/>
  <c r="Y9" i="11"/>
  <c r="Z9" i="11"/>
  <c r="AA9" i="11"/>
  <c r="AB9" i="11"/>
  <c r="AC9" i="11"/>
  <c r="U9" i="11"/>
  <c r="AJ11" i="11"/>
  <c r="AI11" i="11"/>
  <c r="AH11" i="11"/>
  <c r="AF11" i="11"/>
  <c r="AF129" i="10"/>
  <c r="AK40" i="14"/>
  <c r="AK36" i="14"/>
  <c r="AK35" i="14"/>
  <c r="AK29" i="14"/>
  <c r="AK28" i="14"/>
  <c r="AK26" i="14"/>
  <c r="AK17" i="14"/>
  <c r="AK15" i="14"/>
  <c r="AD38" i="14"/>
  <c r="AE34" i="14"/>
  <c r="AD34" i="14"/>
  <c r="AJ27" i="14"/>
  <c r="AI27" i="14"/>
  <c r="AH27" i="14"/>
  <c r="AG27" i="14"/>
  <c r="AF27" i="14"/>
  <c r="AE27" i="14"/>
  <c r="AD27" i="14"/>
  <c r="AJ22" i="14"/>
  <c r="AI22" i="14"/>
  <c r="AH22" i="14"/>
  <c r="AG22" i="14"/>
  <c r="AF22" i="14"/>
  <c r="AE22" i="14"/>
  <c r="AD22" i="14"/>
  <c r="AD13" i="14"/>
  <c r="AD6" i="14"/>
  <c r="AK19" i="13"/>
  <c r="AK18" i="13"/>
  <c r="AJ8" i="13"/>
  <c r="AJ7" i="13" s="1"/>
  <c r="AI8" i="13"/>
  <c r="AI7" i="13" s="1"/>
  <c r="AH8" i="13"/>
  <c r="AH7" i="13" s="1"/>
  <c r="AG8" i="13"/>
  <c r="AG7" i="13" s="1"/>
  <c r="AD8" i="13"/>
  <c r="AD7" i="13" s="1"/>
  <c r="AK44" i="12"/>
  <c r="AD43" i="12"/>
  <c r="AD42" i="12" s="1"/>
  <c r="AD36" i="12"/>
  <c r="AD19" i="12"/>
  <c r="AD12" i="12"/>
  <c r="AD9" i="12"/>
  <c r="AD48" i="11"/>
  <c r="AD42" i="11"/>
  <c r="AK30" i="11"/>
  <c r="AD25" i="11"/>
  <c r="AD21" i="11"/>
  <c r="AD13" i="11"/>
  <c r="AD8" i="11"/>
  <c r="AK113" i="10"/>
  <c r="AK117" i="10"/>
  <c r="AK68" i="10"/>
  <c r="AC21" i="14"/>
  <c r="AB21" i="14"/>
  <c r="AA21" i="14"/>
  <c r="Z21" i="14"/>
  <c r="Y21" i="14"/>
  <c r="X21" i="14"/>
  <c r="W21" i="14"/>
  <c r="U21" i="14"/>
  <c r="O5" i="14"/>
  <c r="N5" i="14"/>
  <c r="O4" i="14"/>
  <c r="N4" i="14"/>
  <c r="Y20" i="13"/>
  <c r="X20" i="13"/>
  <c r="W20" i="13"/>
  <c r="U20" i="13"/>
  <c r="AC19" i="13"/>
  <c r="AB19" i="13"/>
  <c r="AA19" i="13"/>
  <c r="Z19" i="13"/>
  <c r="U19" i="13"/>
  <c r="T17" i="13"/>
  <c r="T15" i="13" s="1"/>
  <c r="S17" i="13"/>
  <c r="S15" i="13" s="1"/>
  <c r="R17" i="13"/>
  <c r="Q17" i="13"/>
  <c r="P17" i="13"/>
  <c r="P15" i="13" s="1"/>
  <c r="N17" i="13"/>
  <c r="R16" i="13"/>
  <c r="Q16" i="13"/>
  <c r="AC12" i="13"/>
  <c r="AB12" i="13"/>
  <c r="AA12" i="13"/>
  <c r="Z12" i="13"/>
  <c r="W12" i="13"/>
  <c r="U12" i="13"/>
  <c r="O6" i="13"/>
  <c r="N6" i="13"/>
  <c r="O5" i="13"/>
  <c r="N5" i="13"/>
  <c r="U4" i="13"/>
  <c r="T4" i="13"/>
  <c r="S4" i="13"/>
  <c r="R4" i="13"/>
  <c r="Q4" i="13"/>
  <c r="P4" i="13"/>
  <c r="O4" i="13"/>
  <c r="AC42" i="12"/>
  <c r="AB42" i="12"/>
  <c r="AA42" i="12"/>
  <c r="Z42" i="12"/>
  <c r="Y42" i="12"/>
  <c r="X42" i="12"/>
  <c r="W42" i="12"/>
  <c r="U42" i="12"/>
  <c r="S37" i="12"/>
  <c r="R37" i="12"/>
  <c r="Q37" i="12"/>
  <c r="P37" i="12"/>
  <c r="T32" i="12"/>
  <c r="S32" i="12"/>
  <c r="P32" i="12"/>
  <c r="T29" i="12"/>
  <c r="S29" i="12"/>
  <c r="P29" i="12"/>
  <c r="T26" i="12"/>
  <c r="S26" i="12"/>
  <c r="P26" i="12"/>
  <c r="T23" i="12"/>
  <c r="U23" i="12" s="1"/>
  <c r="S23" i="12"/>
  <c r="P23" i="12"/>
  <c r="AC19" i="12"/>
  <c r="AB19" i="12"/>
  <c r="AA19" i="12"/>
  <c r="Z19" i="12"/>
  <c r="Y19" i="12"/>
  <c r="X19" i="12"/>
  <c r="W19" i="12"/>
  <c r="U19" i="12"/>
  <c r="O7" i="12"/>
  <c r="N7" i="12"/>
  <c r="O6" i="12"/>
  <c r="R5" i="12"/>
  <c r="Q5" i="12"/>
  <c r="O5" i="12"/>
  <c r="N5" i="12"/>
  <c r="O4" i="12"/>
  <c r="N4" i="12"/>
  <c r="T48" i="11"/>
  <c r="S48" i="11"/>
  <c r="R48" i="11"/>
  <c r="Q48" i="11"/>
  <c r="P48" i="11"/>
  <c r="AC41" i="11"/>
  <c r="AB41" i="11"/>
  <c r="AA41" i="11"/>
  <c r="Z41" i="11"/>
  <c r="Y41" i="11"/>
  <c r="X41" i="11"/>
  <c r="W41" i="11"/>
  <c r="U41" i="11"/>
  <c r="T33" i="11"/>
  <c r="S33" i="11"/>
  <c r="P33" i="11"/>
  <c r="T25" i="11"/>
  <c r="S25" i="11"/>
  <c r="P25" i="11"/>
  <c r="T10" i="11"/>
  <c r="U10" i="11" s="1"/>
  <c r="T9" i="11"/>
  <c r="S8" i="11"/>
  <c r="P8" i="11"/>
  <c r="O6" i="11"/>
  <c r="N6" i="11"/>
  <c r="S5" i="11"/>
  <c r="R5" i="11"/>
  <c r="Q5" i="11"/>
  <c r="P5" i="11"/>
  <c r="O5" i="11"/>
  <c r="N5" i="11"/>
  <c r="O4" i="11"/>
  <c r="N4" i="11"/>
  <c r="AG19" i="14" l="1"/>
  <c r="AF16" i="14"/>
  <c r="AK16" i="14"/>
  <c r="W23" i="12"/>
  <c r="X23" i="12" s="1"/>
  <c r="Y23" i="12" s="1"/>
  <c r="Z23" i="12" s="1"/>
  <c r="AA23" i="12" s="1"/>
  <c r="AB23" i="12" s="1"/>
  <c r="AC23" i="12" s="1"/>
  <c r="W35" i="11"/>
  <c r="V35" i="11"/>
  <c r="AK11" i="11"/>
  <c r="V9" i="11"/>
  <c r="AD12" i="14"/>
  <c r="B43" i="16"/>
  <c r="B24" i="16"/>
  <c r="AH19" i="11"/>
  <c r="AI19" i="11" s="1"/>
  <c r="AJ19" i="11" s="1"/>
  <c r="AP19" i="11" s="1"/>
  <c r="AQ19" i="11" s="1"/>
  <c r="AR19" i="11" s="1"/>
  <c r="AS19" i="11" s="1"/>
  <c r="AT19" i="11" s="1"/>
  <c r="AF43" i="11"/>
  <c r="AG43" i="11" s="1"/>
  <c r="AH43" i="11" s="1"/>
  <c r="AI43" i="11" s="1"/>
  <c r="AJ43" i="11" s="1"/>
  <c r="AP43" i="11" s="1"/>
  <c r="AQ43" i="11" s="1"/>
  <c r="AR43" i="11" s="1"/>
  <c r="AS43" i="11" s="1"/>
  <c r="AT43" i="11" s="1"/>
  <c r="C42" i="16"/>
  <c r="AG15" i="13"/>
  <c r="E47" i="16"/>
  <c r="E48" i="17"/>
  <c r="O73" i="1"/>
  <c r="B38" i="16"/>
  <c r="B23" i="16"/>
  <c r="C38" i="16"/>
  <c r="C23" i="16"/>
  <c r="X29" i="11"/>
  <c r="AE29" i="11" s="1"/>
  <c r="M78" i="1"/>
  <c r="P73" i="1"/>
  <c r="Y8" i="13"/>
  <c r="AF10" i="13"/>
  <c r="X8" i="13"/>
  <c r="AE10" i="13"/>
  <c r="F141" i="16"/>
  <c r="AE13" i="14"/>
  <c r="AE12" i="14" s="1"/>
  <c r="AH31" i="14"/>
  <c r="AE38" i="14"/>
  <c r="AE21" i="14" s="1"/>
  <c r="AF13" i="14"/>
  <c r="AF12" i="14" s="1"/>
  <c r="AG14" i="13"/>
  <c r="AG4" i="13" s="1"/>
  <c r="E6" i="16" s="1"/>
  <c r="I89" i="17" s="1"/>
  <c r="AD8" i="12"/>
  <c r="AD4" i="12" s="1"/>
  <c r="AG39" i="14"/>
  <c r="AG38" i="14" s="1"/>
  <c r="AF38" i="14"/>
  <c r="AH19" i="14"/>
  <c r="AI19" i="14" s="1"/>
  <c r="AJ19" i="14" s="1"/>
  <c r="AK27" i="14"/>
  <c r="AE8" i="11"/>
  <c r="U33" i="11"/>
  <c r="AJ36" i="11"/>
  <c r="AI37" i="11"/>
  <c r="AI36" i="11" s="1"/>
  <c r="Z16" i="13"/>
  <c r="X11" i="13"/>
  <c r="AK12" i="13"/>
  <c r="AK22" i="14"/>
  <c r="AD21" i="14"/>
  <c r="AD4" i="13"/>
  <c r="B6" i="16" s="1"/>
  <c r="F89" i="17" s="1"/>
  <c r="Q15" i="13"/>
  <c r="T34" i="12"/>
  <c r="T36" i="12" s="1"/>
  <c r="AK17" i="12"/>
  <c r="U33" i="12"/>
  <c r="T33" i="12"/>
  <c r="AH36" i="11"/>
  <c r="AD7" i="11"/>
  <c r="X35" i="11"/>
  <c r="W33" i="11"/>
  <c r="AD41" i="11"/>
  <c r="U8" i="11"/>
  <c r="W10" i="11"/>
  <c r="V10" i="11" s="1"/>
  <c r="T8" i="11"/>
  <c r="AK22" i="11"/>
  <c r="Y28" i="11"/>
  <c r="AK19" i="11"/>
  <c r="R15" i="13"/>
  <c r="P34" i="12"/>
  <c r="P36" i="12" s="1"/>
  <c r="P33" i="12"/>
  <c r="S33" i="12"/>
  <c r="S34" i="12"/>
  <c r="S36" i="12" s="1"/>
  <c r="W83" i="10"/>
  <c r="W128" i="10" s="1"/>
  <c r="W80" i="10"/>
  <c r="W125" i="10" s="1"/>
  <c r="AD4" i="14" l="1"/>
  <c r="AK19" i="14"/>
  <c r="AK13" i="14" s="1"/>
  <c r="O77" i="1"/>
  <c r="AI31" i="14"/>
  <c r="AH30" i="14"/>
  <c r="V23" i="12"/>
  <c r="V33" i="11"/>
  <c r="F48" i="17"/>
  <c r="N73" i="1"/>
  <c r="B21" i="16"/>
  <c r="X30" i="11"/>
  <c r="W75" i="1"/>
  <c r="B7" i="16"/>
  <c r="F90" i="17" s="1"/>
  <c r="B32" i="16"/>
  <c r="G48" i="17"/>
  <c r="F49" i="17" s="1"/>
  <c r="Q73" i="1"/>
  <c r="AE11" i="13"/>
  <c r="AE8" i="13" s="1"/>
  <c r="AE7" i="13" s="1"/>
  <c r="AE4" i="13" s="1"/>
  <c r="C6" i="16" s="1"/>
  <c r="W53" i="1"/>
  <c r="B5" i="16"/>
  <c r="F88" i="17" s="1"/>
  <c r="AF28" i="11"/>
  <c r="G141" i="16"/>
  <c r="AH39" i="14"/>
  <c r="AH38" i="14" s="1"/>
  <c r="AG13" i="14"/>
  <c r="AG12" i="14" s="1"/>
  <c r="Z67" i="1"/>
  <c r="W67" i="1"/>
  <c r="AK37" i="11"/>
  <c r="AK36" i="11" s="1"/>
  <c r="AK43" i="11"/>
  <c r="AF8" i="13"/>
  <c r="AF7" i="13" s="1"/>
  <c r="AF4" i="13" s="1"/>
  <c r="D6" i="16" s="1"/>
  <c r="H89" i="17" s="1"/>
  <c r="AK10" i="13"/>
  <c r="AH13" i="14"/>
  <c r="AH12" i="14" s="1"/>
  <c r="T20" i="12"/>
  <c r="W33" i="12"/>
  <c r="V33" i="12" s="1"/>
  <c r="P20" i="12"/>
  <c r="AD4" i="11"/>
  <c r="Y35" i="11"/>
  <c r="X33" i="11"/>
  <c r="X10" i="11"/>
  <c r="W8" i="11"/>
  <c r="V8" i="11" s="1"/>
  <c r="Z28" i="11"/>
  <c r="Y29" i="11"/>
  <c r="S20" i="12"/>
  <c r="AJ31" i="14" l="1"/>
  <c r="AI30" i="14"/>
  <c r="H48" i="17"/>
  <c r="G49" i="17" s="1"/>
  <c r="R73" i="1"/>
  <c r="W44" i="1"/>
  <c r="B4" i="16"/>
  <c r="F87" i="17" s="1"/>
  <c r="X67" i="1"/>
  <c r="Y32" i="11"/>
  <c r="AF32" i="11" s="1"/>
  <c r="AF29" i="11"/>
  <c r="G89" i="17"/>
  <c r="AG28" i="11"/>
  <c r="AK11" i="13"/>
  <c r="AK8" i="13" s="1"/>
  <c r="AK7" i="13" s="1"/>
  <c r="H141" i="16"/>
  <c r="AI39" i="14"/>
  <c r="AJ39" i="14" s="1"/>
  <c r="Y67" i="1"/>
  <c r="AI13" i="14"/>
  <c r="AI12" i="14" s="1"/>
  <c r="AJ13" i="14"/>
  <c r="AJ12" i="14" s="1"/>
  <c r="X33" i="12"/>
  <c r="Z35" i="11"/>
  <c r="AG33" i="11" s="1"/>
  <c r="Y33" i="11"/>
  <c r="Y30" i="11"/>
  <c r="X8" i="11"/>
  <c r="AA28" i="11"/>
  <c r="Z29" i="11"/>
  <c r="AE29" i="10"/>
  <c r="C36" i="16" s="1"/>
  <c r="X12" i="10"/>
  <c r="AE28" i="10"/>
  <c r="Y123" i="10"/>
  <c r="Z72" i="10"/>
  <c r="AG72" i="10" s="1"/>
  <c r="I75" i="17" s="1"/>
  <c r="Y71" i="10"/>
  <c r="X118" i="10"/>
  <c r="X119" i="10" s="1"/>
  <c r="AJ30" i="14" l="1"/>
  <c r="AK31" i="14"/>
  <c r="AK30" i="14" s="1"/>
  <c r="AI38" i="14"/>
  <c r="I48" i="17"/>
  <c r="H49" i="17" s="1"/>
  <c r="S73" i="1"/>
  <c r="Z32" i="11"/>
  <c r="AG32" i="11" s="1"/>
  <c r="AG29" i="11"/>
  <c r="AH28" i="11"/>
  <c r="AF71" i="10"/>
  <c r="D41" i="16" s="1"/>
  <c r="AE12" i="10"/>
  <c r="AE13" i="10"/>
  <c r="AE11" i="10"/>
  <c r="I76" i="17"/>
  <c r="I77" i="17" s="1"/>
  <c r="I78" i="17" s="1"/>
  <c r="I79" i="17" s="1"/>
  <c r="I74" i="17" s="1"/>
  <c r="AA72" i="10"/>
  <c r="AH72" i="10" s="1"/>
  <c r="J75" i="17" s="1"/>
  <c r="Z71" i="10"/>
  <c r="AJ38" i="14"/>
  <c r="AK39" i="14"/>
  <c r="AK38" i="14" s="1"/>
  <c r="AK12" i="14"/>
  <c r="Y33" i="12"/>
  <c r="Z33" i="11"/>
  <c r="AA35" i="11"/>
  <c r="AH33" i="11" s="1"/>
  <c r="Z30" i="11"/>
  <c r="AB28" i="11"/>
  <c r="AA29" i="11"/>
  <c r="Y12" i="10"/>
  <c r="Y118" i="10"/>
  <c r="Y119" i="10" s="1"/>
  <c r="AD19" i="10"/>
  <c r="X120" i="10"/>
  <c r="X81" i="10"/>
  <c r="X84" i="10"/>
  <c r="Y16" i="10"/>
  <c r="AF14" i="10" s="1"/>
  <c r="M70" i="1"/>
  <c r="M74" i="1"/>
  <c r="M57" i="1"/>
  <c r="L48" i="1"/>
  <c r="T5" i="11" s="1"/>
  <c r="I44" i="1"/>
  <c r="Q4" i="11" s="1"/>
  <c r="C69" i="16" s="1"/>
  <c r="J44" i="1"/>
  <c r="R4" i="11" s="1"/>
  <c r="D69" i="16" s="1"/>
  <c r="K44" i="1"/>
  <c r="S4" i="11" s="1"/>
  <c r="E69" i="16" s="1"/>
  <c r="L44" i="1"/>
  <c r="T4" i="11" s="1"/>
  <c r="F69" i="16" s="1"/>
  <c r="H44" i="1"/>
  <c r="P4" i="11" s="1"/>
  <c r="B69" i="16" s="1"/>
  <c r="M15" i="1"/>
  <c r="M18" i="1"/>
  <c r="X83" i="10"/>
  <c r="Y83" i="10" s="1"/>
  <c r="X80" i="10"/>
  <c r="X78" i="10"/>
  <c r="AD122" i="10"/>
  <c r="AD86" i="10"/>
  <c r="AD73" i="10"/>
  <c r="AD67" i="10"/>
  <c r="AE27" i="10"/>
  <c r="AD27" i="10"/>
  <c r="P53" i="10"/>
  <c r="X39" i="10"/>
  <c r="AE39" i="10" s="1"/>
  <c r="C39" i="16" s="1"/>
  <c r="AB32" i="10"/>
  <c r="AA32" i="10"/>
  <c r="Z32" i="10"/>
  <c r="Y32" i="10"/>
  <c r="AC32" i="10"/>
  <c r="M29" i="1"/>
  <c r="Y24" i="10"/>
  <c r="W70" i="10"/>
  <c r="AE70" i="10" s="1"/>
  <c r="K81" i="1"/>
  <c r="S5" i="14" s="1"/>
  <c r="L71" i="1"/>
  <c r="T6" i="13" s="1"/>
  <c r="M71" i="1"/>
  <c r="P69" i="1"/>
  <c r="L63" i="1"/>
  <c r="L62" i="1"/>
  <c r="M58" i="1"/>
  <c r="L53" i="1"/>
  <c r="T4" i="12" s="1"/>
  <c r="F70" i="16" s="1"/>
  <c r="L56" i="1"/>
  <c r="T5" i="12" s="1"/>
  <c r="I50" i="1"/>
  <c r="Q6" i="11" s="1"/>
  <c r="J50" i="1"/>
  <c r="R6" i="11" s="1"/>
  <c r="K50" i="1"/>
  <c r="S6" i="11" s="1"/>
  <c r="L50" i="1"/>
  <c r="T6" i="11" s="1"/>
  <c r="H50" i="1"/>
  <c r="P6" i="11" s="1"/>
  <c r="O43" i="1"/>
  <c r="N43" i="1" s="1"/>
  <c r="N42" i="1" s="1"/>
  <c r="H42" i="1"/>
  <c r="M27" i="1"/>
  <c r="M26" i="1"/>
  <c r="M8" i="1"/>
  <c r="M5" i="1"/>
  <c r="L17" i="1"/>
  <c r="M9" i="1"/>
  <c r="O5" i="1" l="1"/>
  <c r="O27" i="1"/>
  <c r="P27" i="1" s="1"/>
  <c r="Q27" i="1" s="1"/>
  <c r="R27" i="1" s="1"/>
  <c r="S27" i="1" s="1"/>
  <c r="T27" i="1" s="1"/>
  <c r="U27" i="1" s="1"/>
  <c r="N27" i="1"/>
  <c r="U6" i="13"/>
  <c r="O29" i="1"/>
  <c r="P29" i="1" s="1"/>
  <c r="Q29" i="1" s="1"/>
  <c r="R29" i="1" s="1"/>
  <c r="S29" i="1" s="1"/>
  <c r="T29" i="1" s="1"/>
  <c r="U29" i="1" s="1"/>
  <c r="N29" i="1"/>
  <c r="O18" i="1"/>
  <c r="N18" i="1"/>
  <c r="G61" i="16"/>
  <c r="G62" i="16" s="1"/>
  <c r="H62" i="16" s="1"/>
  <c r="I62" i="16" s="1"/>
  <c r="J62" i="16" s="1"/>
  <c r="K62" i="16" s="1"/>
  <c r="L62" i="16" s="1"/>
  <c r="M62" i="16" s="1"/>
  <c r="N62" i="16" s="1"/>
  <c r="O26" i="1"/>
  <c r="N26" i="1" s="1"/>
  <c r="O9" i="1"/>
  <c r="N9" i="1" s="1"/>
  <c r="G63" i="16"/>
  <c r="M62" i="1"/>
  <c r="J48" i="17"/>
  <c r="I49" i="17" s="1"/>
  <c r="T73" i="1"/>
  <c r="O74" i="1"/>
  <c r="N74" i="1" s="1"/>
  <c r="E50" i="17"/>
  <c r="E47" i="17" s="1"/>
  <c r="U17" i="13"/>
  <c r="M54" i="1"/>
  <c r="G50" i="16"/>
  <c r="M81" i="1"/>
  <c r="O8" i="1"/>
  <c r="M60" i="1"/>
  <c r="E40" i="17"/>
  <c r="O58" i="1"/>
  <c r="N58" i="1" s="1"/>
  <c r="U28" i="12"/>
  <c r="E29" i="17"/>
  <c r="E39" i="17"/>
  <c r="U27" i="12"/>
  <c r="O57" i="1"/>
  <c r="N57" i="1" s="1"/>
  <c r="U38" i="12"/>
  <c r="AI28" i="11"/>
  <c r="AA32" i="11"/>
  <c r="AH32" i="11" s="1"/>
  <c r="AH29" i="11"/>
  <c r="H68" i="17"/>
  <c r="D139" i="16"/>
  <c r="G52" i="17"/>
  <c r="G51" i="17" s="1"/>
  <c r="J76" i="17"/>
  <c r="J77" i="17" s="1"/>
  <c r="J78" i="17" s="1"/>
  <c r="J79" i="17" s="1"/>
  <c r="C17" i="16"/>
  <c r="G24" i="17"/>
  <c r="X67" i="10"/>
  <c r="AG71" i="10"/>
  <c r="E41" i="16" s="1"/>
  <c r="C19" i="16"/>
  <c r="AF13" i="10"/>
  <c r="AF11" i="10"/>
  <c r="AF12" i="10"/>
  <c r="Z118" i="10"/>
  <c r="Z119" i="10" s="1"/>
  <c r="Z12" i="10"/>
  <c r="AB72" i="10"/>
  <c r="AI72" i="10" s="1"/>
  <c r="K75" i="17" s="1"/>
  <c r="AA71" i="10"/>
  <c r="Z33" i="12"/>
  <c r="AB35" i="11"/>
  <c r="AI33" i="11" s="1"/>
  <c r="AA33" i="11"/>
  <c r="AC28" i="11"/>
  <c r="AB29" i="11"/>
  <c r="AA30" i="11"/>
  <c r="Y128" i="10"/>
  <c r="AF126" i="10" s="1"/>
  <c r="AF81" i="10"/>
  <c r="Y82" i="10" s="1"/>
  <c r="Z16" i="10"/>
  <c r="AG14" i="10" s="1"/>
  <c r="X125" i="10"/>
  <c r="AE78" i="10"/>
  <c r="Y80" i="10"/>
  <c r="Y125" i="10" s="1"/>
  <c r="AF123" i="10" s="1"/>
  <c r="X128" i="10"/>
  <c r="AE81" i="10"/>
  <c r="X85" i="10"/>
  <c r="AE84" i="10" s="1"/>
  <c r="Z83" i="10"/>
  <c r="Y78" i="10"/>
  <c r="M59" i="1"/>
  <c r="M45" i="1"/>
  <c r="M46" i="1"/>
  <c r="M63" i="1"/>
  <c r="P43" i="1"/>
  <c r="X9" i="13" s="1"/>
  <c r="P18" i="1"/>
  <c r="Q18" i="1" s="1"/>
  <c r="R18" i="1" s="1"/>
  <c r="S18" i="1" s="1"/>
  <c r="T18" i="1" s="1"/>
  <c r="U18" i="1" s="1"/>
  <c r="M53" i="1"/>
  <c r="AD66" i="10"/>
  <c r="X70" i="10"/>
  <c r="L64" i="1"/>
  <c r="T7" i="12" s="1"/>
  <c r="F74" i="16" s="1"/>
  <c r="M79" i="1"/>
  <c r="M68" i="1"/>
  <c r="L61" i="1"/>
  <c r="T6" i="12" s="1"/>
  <c r="F73" i="16" s="1"/>
  <c r="Q69" i="1"/>
  <c r="M42" i="1"/>
  <c r="H50" i="16"/>
  <c r="M7" i="1"/>
  <c r="P8" i="1"/>
  <c r="M4" i="1"/>
  <c r="G51" i="16" s="1"/>
  <c r="U5" i="13" l="1"/>
  <c r="H61" i="16"/>
  <c r="N8" i="1"/>
  <c r="N7" i="1" s="1"/>
  <c r="O4" i="1"/>
  <c r="P5" i="1"/>
  <c r="N5" i="1"/>
  <c r="N4" i="1" s="1"/>
  <c r="U4" i="12"/>
  <c r="G70" i="16" s="1"/>
  <c r="U5" i="14"/>
  <c r="U29" i="12"/>
  <c r="G75" i="16"/>
  <c r="U7" i="10"/>
  <c r="P26" i="1"/>
  <c r="G52" i="16"/>
  <c r="G53" i="16" s="1"/>
  <c r="H52" i="16"/>
  <c r="E45" i="17"/>
  <c r="O45" i="17"/>
  <c r="P45" i="17"/>
  <c r="Q45" i="17"/>
  <c r="R45" i="17"/>
  <c r="S45" i="17"/>
  <c r="E32" i="17"/>
  <c r="E34" i="17" s="1"/>
  <c r="O7" i="1"/>
  <c r="O59" i="1"/>
  <c r="N59" i="1" s="1"/>
  <c r="U39" i="12"/>
  <c r="Q8" i="1"/>
  <c r="I61" i="16"/>
  <c r="M51" i="1"/>
  <c r="U53" i="11"/>
  <c r="F39" i="17"/>
  <c r="W27" i="12"/>
  <c r="V27" i="12" s="1"/>
  <c r="P57" i="1"/>
  <c r="F29" i="17"/>
  <c r="P74" i="1"/>
  <c r="F50" i="17"/>
  <c r="F47" i="17" s="1"/>
  <c r="B134" i="16" s="1"/>
  <c r="M61" i="1"/>
  <c r="O62" i="1"/>
  <c r="O54" i="1"/>
  <c r="N54" i="1" s="1"/>
  <c r="N53" i="1" s="1"/>
  <c r="F45" i="17"/>
  <c r="G45" i="17"/>
  <c r="E46" i="17"/>
  <c r="I45" i="17"/>
  <c r="J45" i="17"/>
  <c r="K45" i="17"/>
  <c r="L45" i="17"/>
  <c r="H45" i="17"/>
  <c r="F40" i="17"/>
  <c r="W28" i="12"/>
  <c r="V28" i="12" s="1"/>
  <c r="P58" i="1"/>
  <c r="G40" i="17" s="1"/>
  <c r="W17" i="13"/>
  <c r="V17" i="13" s="1"/>
  <c r="U15" i="13"/>
  <c r="K48" i="17"/>
  <c r="J49" i="17" s="1"/>
  <c r="U73" i="1"/>
  <c r="L48" i="17" s="1"/>
  <c r="W38" i="12"/>
  <c r="V38" i="12" s="1"/>
  <c r="P9" i="1"/>
  <c r="P7" i="1" s="1"/>
  <c r="H63" i="16"/>
  <c r="AB32" i="11"/>
  <c r="AI32" i="11" s="1"/>
  <c r="AI29" i="11"/>
  <c r="AJ28" i="11"/>
  <c r="AP28" i="11" s="1"/>
  <c r="AQ28" i="11" s="1"/>
  <c r="AR28" i="11" s="1"/>
  <c r="AS28" i="11" s="1"/>
  <c r="AT28" i="11" s="1"/>
  <c r="AF69" i="10"/>
  <c r="D42" i="16" s="1"/>
  <c r="AF70" i="10"/>
  <c r="F97" i="16"/>
  <c r="AG13" i="10"/>
  <c r="AG11" i="10"/>
  <c r="AG12" i="10"/>
  <c r="AH71" i="10"/>
  <c r="F41" i="16" s="1"/>
  <c r="H52" i="17"/>
  <c r="H51" i="17" s="1"/>
  <c r="K76" i="17"/>
  <c r="K77" i="17" s="1"/>
  <c r="K78" i="17" s="1"/>
  <c r="K79" i="17" s="1"/>
  <c r="K74" i="17" s="1"/>
  <c r="D17" i="16"/>
  <c r="D98" i="16" s="1"/>
  <c r="E139" i="16"/>
  <c r="E140" i="16" s="1"/>
  <c r="F143" i="16" s="1"/>
  <c r="G143" i="16" s="1"/>
  <c r="H143" i="16" s="1"/>
  <c r="I68" i="17"/>
  <c r="D97" i="16"/>
  <c r="J74" i="17"/>
  <c r="D140" i="16"/>
  <c r="E142" i="16" s="1"/>
  <c r="D138" i="16"/>
  <c r="H73" i="17"/>
  <c r="H69" i="17"/>
  <c r="H70" i="17" s="1"/>
  <c r="H71" i="17" s="1"/>
  <c r="H72" i="17" s="1"/>
  <c r="AC72" i="10"/>
  <c r="AJ72" i="10" s="1"/>
  <c r="L75" i="17" s="1"/>
  <c r="L76" i="17" s="1"/>
  <c r="L77" i="17" s="1"/>
  <c r="L78" i="17" s="1"/>
  <c r="L79" i="17" s="1"/>
  <c r="L74" i="17" s="1"/>
  <c r="O74" i="17" s="1"/>
  <c r="P74" i="17" s="1"/>
  <c r="Q74" i="17" s="1"/>
  <c r="R74" i="17" s="1"/>
  <c r="S74" i="17" s="1"/>
  <c r="AB71" i="10"/>
  <c r="AA12" i="10"/>
  <c r="Q71" i="1"/>
  <c r="Y6" i="13" s="1"/>
  <c r="R69" i="1"/>
  <c r="AA33" i="12"/>
  <c r="AC35" i="11"/>
  <c r="AJ33" i="11" s="1"/>
  <c r="AP33" i="11" s="1"/>
  <c r="AQ33" i="11" s="1"/>
  <c r="AR33" i="11" s="1"/>
  <c r="AS33" i="11" s="1"/>
  <c r="AT33" i="11" s="1"/>
  <c r="AB33" i="11"/>
  <c r="AC29" i="11"/>
  <c r="AB30" i="11"/>
  <c r="AE67" i="10"/>
  <c r="X79" i="10"/>
  <c r="X82" i="10"/>
  <c r="M44" i="1"/>
  <c r="AF78" i="10"/>
  <c r="AG81" i="10"/>
  <c r="Z128" i="10"/>
  <c r="AE73" i="10"/>
  <c r="AE122" i="10"/>
  <c r="AA16" i="10"/>
  <c r="AH14" i="10" s="1"/>
  <c r="Y124" i="10"/>
  <c r="AF122" i="10"/>
  <c r="Q43" i="1"/>
  <c r="Y9" i="13" s="1"/>
  <c r="X121" i="10"/>
  <c r="Z24" i="10"/>
  <c r="AA24" i="10" s="1"/>
  <c r="Y70" i="10"/>
  <c r="AA83" i="10"/>
  <c r="Z80" i="10"/>
  <c r="AA118" i="10"/>
  <c r="AA119" i="10" s="1"/>
  <c r="Y120" i="10"/>
  <c r="Y81" i="10"/>
  <c r="Y85" i="10" s="1"/>
  <c r="AF84" i="10" s="1"/>
  <c r="Y84" i="10"/>
  <c r="Z78" i="10"/>
  <c r="O70" i="1"/>
  <c r="O71" i="1"/>
  <c r="M56" i="1"/>
  <c r="U5" i="12" s="1"/>
  <c r="P71" i="1"/>
  <c r="X6" i="13" s="1"/>
  <c r="M52" i="1"/>
  <c r="O46" i="1"/>
  <c r="N46" i="1" s="1"/>
  <c r="O45" i="1"/>
  <c r="N45" i="1" s="1"/>
  <c r="O42" i="1"/>
  <c r="W7" i="10" s="1"/>
  <c r="H67" i="16" s="1"/>
  <c r="O60" i="1"/>
  <c r="N60" i="1" s="1"/>
  <c r="O15" i="1"/>
  <c r="AA78" i="10"/>
  <c r="Z70" i="10"/>
  <c r="O79" i="1"/>
  <c r="N79" i="1" s="1"/>
  <c r="O63" i="1"/>
  <c r="N63" i="1" s="1"/>
  <c r="P42" i="1"/>
  <c r="X7" i="10" s="1"/>
  <c r="I67" i="16" s="1"/>
  <c r="H51" i="16"/>
  <c r="N44" i="1" l="1"/>
  <c r="W6" i="13"/>
  <c r="V6" i="13" s="1"/>
  <c r="N71" i="1"/>
  <c r="P62" i="1"/>
  <c r="Q62" i="1" s="1"/>
  <c r="R62" i="1" s="1"/>
  <c r="S62" i="1" s="1"/>
  <c r="T62" i="1" s="1"/>
  <c r="U62" i="1" s="1"/>
  <c r="N62" i="1"/>
  <c r="U6" i="12"/>
  <c r="N56" i="1"/>
  <c r="E28" i="17"/>
  <c r="P15" i="1"/>
  <c r="Q15" i="1" s="1"/>
  <c r="R15" i="1" s="1"/>
  <c r="S15" i="1" s="1"/>
  <c r="T15" i="1" s="1"/>
  <c r="U15" i="1" s="1"/>
  <c r="N15" i="1"/>
  <c r="U4" i="11"/>
  <c r="G69" i="16" s="1"/>
  <c r="O68" i="1"/>
  <c r="N68" i="1" s="1"/>
  <c r="N70" i="1"/>
  <c r="U37" i="12"/>
  <c r="G73" i="16"/>
  <c r="G67" i="16"/>
  <c r="G68" i="16" s="1"/>
  <c r="H68" i="16" s="1"/>
  <c r="I68" i="16" s="1"/>
  <c r="J68" i="16" s="1"/>
  <c r="K68" i="16" s="1"/>
  <c r="L68" i="16" s="1"/>
  <c r="M68" i="16" s="1"/>
  <c r="N68" i="16" s="1"/>
  <c r="V7" i="10"/>
  <c r="U34" i="12"/>
  <c r="W39" i="12"/>
  <c r="V39" i="12" s="1"/>
  <c r="G25" i="17"/>
  <c r="G23" i="17" s="1"/>
  <c r="AE118" i="10"/>
  <c r="Q26" i="1"/>
  <c r="H53" i="16"/>
  <c r="I52" i="16"/>
  <c r="F32" i="17"/>
  <c r="F34" i="17" s="1"/>
  <c r="M48" i="17"/>
  <c r="L49" i="17" s="1"/>
  <c r="O48" i="17"/>
  <c r="P48" i="17" s="1"/>
  <c r="X28" i="12"/>
  <c r="Q58" i="1"/>
  <c r="H40" i="17" s="1"/>
  <c r="X38" i="12"/>
  <c r="X40" i="12"/>
  <c r="E38" i="17"/>
  <c r="I50" i="16"/>
  <c r="X9" i="14"/>
  <c r="AE9" i="14" s="1"/>
  <c r="P79" i="1"/>
  <c r="X31" i="11"/>
  <c r="O51" i="1"/>
  <c r="F27" i="17" s="1"/>
  <c r="P45" i="1"/>
  <c r="Q9" i="1"/>
  <c r="I63" i="16"/>
  <c r="K49" i="17"/>
  <c r="P54" i="1"/>
  <c r="G29" i="17"/>
  <c r="W53" i="11"/>
  <c r="V53" i="11" s="1"/>
  <c r="R8" i="1"/>
  <c r="J61" i="16"/>
  <c r="G39" i="17"/>
  <c r="G46" i="17" s="1"/>
  <c r="G38" i="17" s="1"/>
  <c r="Q57" i="1"/>
  <c r="X27" i="12"/>
  <c r="Q74" i="1"/>
  <c r="G50" i="17"/>
  <c r="G47" i="17" s="1"/>
  <c r="C134" i="16" s="1"/>
  <c r="W29" i="12"/>
  <c r="W34" i="12" s="1"/>
  <c r="E27" i="17"/>
  <c r="U52" i="11"/>
  <c r="W15" i="13"/>
  <c r="V15" i="13" s="1"/>
  <c r="X17" i="13"/>
  <c r="F46" i="17"/>
  <c r="F38" i="17" s="1"/>
  <c r="AC32" i="11"/>
  <c r="AJ32" i="11" s="1"/>
  <c r="AJ29" i="11"/>
  <c r="AP29" i="11" s="1"/>
  <c r="AQ29" i="11" s="1"/>
  <c r="AR29" i="11" s="1"/>
  <c r="AS29" i="11" s="1"/>
  <c r="AT29" i="11" s="1"/>
  <c r="F142" i="16"/>
  <c r="E138" i="16"/>
  <c r="AH70" i="10"/>
  <c r="AH69" i="10"/>
  <c r="F42" i="16" s="1"/>
  <c r="AG70" i="10"/>
  <c r="AG69" i="10"/>
  <c r="E42" i="16" s="1"/>
  <c r="I73" i="17"/>
  <c r="I69" i="17"/>
  <c r="I70" i="17" s="1"/>
  <c r="I71" i="17" s="1"/>
  <c r="I72" i="17" s="1"/>
  <c r="J68" i="17"/>
  <c r="F139" i="16"/>
  <c r="F140" i="16" s="1"/>
  <c r="G144" i="16" s="1"/>
  <c r="H144" i="16" s="1"/>
  <c r="I52" i="17"/>
  <c r="I51" i="17" s="1"/>
  <c r="H24" i="17"/>
  <c r="Y67" i="10"/>
  <c r="AI71" i="10"/>
  <c r="G41" i="16" s="1"/>
  <c r="AH12" i="10"/>
  <c r="AH11" i="10"/>
  <c r="AH13" i="10"/>
  <c r="H67" i="17"/>
  <c r="R58" i="1"/>
  <c r="Y28" i="12"/>
  <c r="Z20" i="11"/>
  <c r="AG20" i="11" s="1"/>
  <c r="AC71" i="10"/>
  <c r="AB12" i="10"/>
  <c r="R71" i="1"/>
  <c r="Z6" i="13" s="1"/>
  <c r="AC33" i="12"/>
  <c r="AB33" i="12"/>
  <c r="AK33" i="11"/>
  <c r="AC33" i="11"/>
  <c r="AC30" i="11"/>
  <c r="AK28" i="11"/>
  <c r="Z82" i="10"/>
  <c r="O80" i="1"/>
  <c r="AF67" i="10"/>
  <c r="Z125" i="10"/>
  <c r="AG123" i="10" s="1"/>
  <c r="AG78" i="10"/>
  <c r="P63" i="1"/>
  <c r="AA128" i="10"/>
  <c r="AH81" i="10"/>
  <c r="AB16" i="10"/>
  <c r="AI14" i="10" s="1"/>
  <c r="R43" i="1"/>
  <c r="Y121" i="10"/>
  <c r="H25" i="17" s="1"/>
  <c r="AA80" i="10"/>
  <c r="AB118" i="10"/>
  <c r="AB119" i="10" s="1"/>
  <c r="Y79" i="10"/>
  <c r="AF73" i="10"/>
  <c r="AA84" i="10"/>
  <c r="AA120" i="10"/>
  <c r="AA81" i="10"/>
  <c r="AA85" i="10" s="1"/>
  <c r="AH84" i="10" s="1"/>
  <c r="AB83" i="10"/>
  <c r="AB24" i="10"/>
  <c r="Z120" i="10"/>
  <c r="Z81" i="10"/>
  <c r="Z85" i="10" s="1"/>
  <c r="AG84" i="10" s="1"/>
  <c r="Z84" i="10"/>
  <c r="P70" i="1"/>
  <c r="P68" i="1" s="1"/>
  <c r="X5" i="13" s="1"/>
  <c r="I75" i="16" s="1"/>
  <c r="M48" i="1"/>
  <c r="P60" i="1"/>
  <c r="Q60" i="1" s="1"/>
  <c r="R60" i="1" s="1"/>
  <c r="O52" i="1"/>
  <c r="N52" i="1" s="1"/>
  <c r="N48" i="1" s="1"/>
  <c r="O44" i="1"/>
  <c r="W4" i="11" s="1"/>
  <c r="H69" i="16" s="1"/>
  <c r="M50" i="1"/>
  <c r="P46" i="1"/>
  <c r="Q5" i="1"/>
  <c r="AB78" i="10"/>
  <c r="AA70" i="10"/>
  <c r="P59" i="1"/>
  <c r="O56" i="1"/>
  <c r="W5" i="12" s="1"/>
  <c r="V5" i="12" s="1"/>
  <c r="O61" i="1"/>
  <c r="N61" i="1" s="1"/>
  <c r="O53" i="1"/>
  <c r="P4" i="1"/>
  <c r="I51" i="16" s="1"/>
  <c r="S69" i="1"/>
  <c r="Q42" i="1"/>
  <c r="Y7" i="10" s="1"/>
  <c r="J67" i="16" s="1"/>
  <c r="Q7" i="1"/>
  <c r="C43" i="16" l="1"/>
  <c r="AE7" i="14"/>
  <c r="AE6" i="14" s="1"/>
  <c r="AE4" i="14" s="1"/>
  <c r="U5" i="11"/>
  <c r="W5" i="13"/>
  <c r="W4" i="12"/>
  <c r="H70" i="16" s="1"/>
  <c r="U6" i="11"/>
  <c r="W6" i="12"/>
  <c r="N51" i="1"/>
  <c r="N50" i="1" s="1"/>
  <c r="W37" i="12"/>
  <c r="V37" i="12" s="1"/>
  <c r="V29" i="12"/>
  <c r="V34" i="12"/>
  <c r="U36" i="12"/>
  <c r="U20" i="12"/>
  <c r="V4" i="11"/>
  <c r="AK29" i="11"/>
  <c r="X29" i="12"/>
  <c r="X34" i="12" s="1"/>
  <c r="X36" i="12" s="1"/>
  <c r="V4" i="12"/>
  <c r="E45" i="16"/>
  <c r="E17" i="16"/>
  <c r="D99" i="16" s="1"/>
  <c r="H23" i="17"/>
  <c r="AK32" i="11"/>
  <c r="AP32" i="11"/>
  <c r="AQ32" i="11" s="1"/>
  <c r="AR32" i="11" s="1"/>
  <c r="AS32" i="11" s="1"/>
  <c r="AT32" i="11" s="1"/>
  <c r="Y38" i="12"/>
  <c r="R26" i="1"/>
  <c r="J52" i="16"/>
  <c r="I53" i="16"/>
  <c r="E36" i="17"/>
  <c r="Q48" i="17"/>
  <c r="O49" i="17"/>
  <c r="F36" i="17"/>
  <c r="G32" i="17"/>
  <c r="G34" i="17" s="1"/>
  <c r="G36" i="17" s="1"/>
  <c r="J50" i="16"/>
  <c r="Y9" i="14"/>
  <c r="AF9" i="14" s="1"/>
  <c r="AF7" i="14" s="1"/>
  <c r="O48" i="1"/>
  <c r="W5" i="11" s="1"/>
  <c r="V5" i="11" s="1"/>
  <c r="F28" i="17"/>
  <c r="Y12" i="11"/>
  <c r="AF21" i="14"/>
  <c r="X15" i="13"/>
  <c r="Y17" i="13"/>
  <c r="W36" i="12"/>
  <c r="W20" i="12"/>
  <c r="H29" i="17"/>
  <c r="X16" i="11"/>
  <c r="I40" i="17"/>
  <c r="S8" i="1"/>
  <c r="K61" i="16"/>
  <c r="Q54" i="1"/>
  <c r="P77" i="1"/>
  <c r="C24" i="16"/>
  <c r="O50" i="1"/>
  <c r="W6" i="11" s="1"/>
  <c r="V6" i="11" s="1"/>
  <c r="Q63" i="1"/>
  <c r="X45" i="12"/>
  <c r="X44" i="12"/>
  <c r="X50" i="12"/>
  <c r="X46" i="12"/>
  <c r="X43" i="12"/>
  <c r="Y43" i="12" s="1"/>
  <c r="W52" i="11"/>
  <c r="V52" i="11" s="1"/>
  <c r="U48" i="11"/>
  <c r="R74" i="1"/>
  <c r="H50" i="17"/>
  <c r="H47" i="17" s="1"/>
  <c r="D134" i="16" s="1"/>
  <c r="H39" i="17"/>
  <c r="H46" i="17" s="1"/>
  <c r="H38" i="17" s="1"/>
  <c r="Y27" i="12"/>
  <c r="Y29" i="12" s="1"/>
  <c r="Y34" i="12" s="1"/>
  <c r="Y40" i="12"/>
  <c r="R57" i="1"/>
  <c r="Z40" i="12" s="1"/>
  <c r="X53" i="11"/>
  <c r="J63" i="16"/>
  <c r="R9" i="1"/>
  <c r="K63" i="16" s="1"/>
  <c r="Y31" i="11"/>
  <c r="AE31" i="11"/>
  <c r="AE25" i="11" s="1"/>
  <c r="J52" i="17"/>
  <c r="J51" i="17" s="1"/>
  <c r="C16" i="16"/>
  <c r="AI69" i="10"/>
  <c r="G42" i="16" s="1"/>
  <c r="AI70" i="10"/>
  <c r="AJ71" i="10"/>
  <c r="H41" i="16" s="1"/>
  <c r="I41" i="16" s="1"/>
  <c r="I67" i="17"/>
  <c r="G139" i="16"/>
  <c r="K68" i="17"/>
  <c r="G142" i="16"/>
  <c r="F138" i="16"/>
  <c r="I24" i="17"/>
  <c r="Z67" i="10"/>
  <c r="J24" i="17"/>
  <c r="AA67" i="10"/>
  <c r="AI12" i="10"/>
  <c r="AI13" i="10"/>
  <c r="AI11" i="10"/>
  <c r="J69" i="17"/>
  <c r="J73" i="17"/>
  <c r="S58" i="1"/>
  <c r="Z28" i="12"/>
  <c r="X41" i="12"/>
  <c r="X11" i="12"/>
  <c r="AE11" i="12" s="1"/>
  <c r="X15" i="12"/>
  <c r="AE15" i="12" s="1"/>
  <c r="X10" i="12"/>
  <c r="AE10" i="12" s="1"/>
  <c r="X39" i="12"/>
  <c r="AH67" i="10"/>
  <c r="AA20" i="11"/>
  <c r="AH20" i="11" s="1"/>
  <c r="AK72" i="10"/>
  <c r="AC35" i="12"/>
  <c r="AC12" i="10"/>
  <c r="P52" i="1"/>
  <c r="P80" i="1"/>
  <c r="AA82" i="10"/>
  <c r="AE86" i="10"/>
  <c r="AE66" i="10" s="1"/>
  <c r="AB128" i="10"/>
  <c r="AI81" i="10"/>
  <c r="AB82" i="10" s="1"/>
  <c r="AH78" i="10"/>
  <c r="AA125" i="10"/>
  <c r="AH123" i="10" s="1"/>
  <c r="AC16" i="10"/>
  <c r="AG67" i="10"/>
  <c r="S43" i="1"/>
  <c r="Z121" i="10"/>
  <c r="I25" i="17" s="1"/>
  <c r="AB81" i="10"/>
  <c r="AB85" i="10" s="1"/>
  <c r="AI84" i="10" s="1"/>
  <c r="AB84" i="10"/>
  <c r="AB120" i="10"/>
  <c r="AC118" i="10"/>
  <c r="AC119" i="10" s="1"/>
  <c r="AK71" i="10"/>
  <c r="AB80" i="10"/>
  <c r="Z79" i="10"/>
  <c r="AG73" i="10"/>
  <c r="AC83" i="10"/>
  <c r="Q79" i="1"/>
  <c r="Q70" i="1"/>
  <c r="Q68" i="1" s="1"/>
  <c r="Y5" i="13" s="1"/>
  <c r="J75" i="16" s="1"/>
  <c r="Q46" i="1"/>
  <c r="Q45" i="1"/>
  <c r="P44" i="1"/>
  <c r="X4" i="11" s="1"/>
  <c r="I69" i="16" s="1"/>
  <c r="P51" i="1"/>
  <c r="R5" i="1"/>
  <c r="AC24" i="10"/>
  <c r="AC78" i="10"/>
  <c r="AB70" i="10"/>
  <c r="P53" i="1"/>
  <c r="X4" i="12" s="1"/>
  <c r="I70" i="16" s="1"/>
  <c r="P61" i="1"/>
  <c r="X6" i="12" s="1"/>
  <c r="I73" i="16" s="1"/>
  <c r="Q4" i="1"/>
  <c r="J51" i="16" s="1"/>
  <c r="T69" i="1"/>
  <c r="Q59" i="1"/>
  <c r="Y41" i="12" s="1"/>
  <c r="P56" i="1"/>
  <c r="X5" i="12" s="1"/>
  <c r="R42" i="1"/>
  <c r="Z7" i="10" s="1"/>
  <c r="K67" i="16" s="1"/>
  <c r="R7" i="1"/>
  <c r="V20" i="12" l="1"/>
  <c r="V36" i="12"/>
  <c r="H75" i="16"/>
  <c r="V5" i="13"/>
  <c r="H73" i="16"/>
  <c r="V6" i="12"/>
  <c r="X20" i="12"/>
  <c r="Q52" i="1"/>
  <c r="H28" i="17" s="1"/>
  <c r="F45" i="16"/>
  <c r="F17" i="16"/>
  <c r="D100" i="16" s="1"/>
  <c r="I23" i="17"/>
  <c r="AF6" i="14"/>
  <c r="D43" i="16"/>
  <c r="S26" i="1"/>
  <c r="J53" i="16"/>
  <c r="K52" i="16"/>
  <c r="H32" i="17"/>
  <c r="H34" i="17" s="1"/>
  <c r="H36" i="17" s="1"/>
  <c r="R48" i="17"/>
  <c r="P49" i="17"/>
  <c r="J70" i="17"/>
  <c r="J71" i="17" s="1"/>
  <c r="J72" i="17" s="1"/>
  <c r="J67" i="17" s="1"/>
  <c r="Y16" i="11"/>
  <c r="Y13" i="11" s="1"/>
  <c r="S9" i="1"/>
  <c r="T9" i="1" s="1"/>
  <c r="Y36" i="12"/>
  <c r="Y20" i="12"/>
  <c r="I39" i="17"/>
  <c r="I46" i="17" s="1"/>
  <c r="I38" i="17" s="1"/>
  <c r="Z27" i="12"/>
  <c r="Z29" i="12" s="1"/>
  <c r="Z34" i="12" s="1"/>
  <c r="Z36" i="12" s="1"/>
  <c r="S57" i="1"/>
  <c r="R54" i="1"/>
  <c r="Z38" i="12"/>
  <c r="I29" i="17"/>
  <c r="AF12" i="11"/>
  <c r="AF8" i="11" s="1"/>
  <c r="Y10" i="11"/>
  <c r="Y8" i="11" s="1"/>
  <c r="S74" i="1"/>
  <c r="I50" i="17"/>
  <c r="I47" i="17" s="1"/>
  <c r="E134" i="16" s="1"/>
  <c r="L63" i="16"/>
  <c r="AE45" i="12"/>
  <c r="AE46" i="12"/>
  <c r="X47" i="12"/>
  <c r="R63" i="1"/>
  <c r="Z43" i="12" s="1"/>
  <c r="Y45" i="12"/>
  <c r="Y44" i="12"/>
  <c r="Y50" i="12"/>
  <c r="Y46" i="12"/>
  <c r="X75" i="1"/>
  <c r="C7" i="16"/>
  <c r="G90" i="17" s="1"/>
  <c r="T8" i="1"/>
  <c r="L61" i="16"/>
  <c r="AE16" i="11"/>
  <c r="X14" i="11"/>
  <c r="X13" i="11"/>
  <c r="X17" i="11"/>
  <c r="AE17" i="11" s="1"/>
  <c r="K50" i="16"/>
  <c r="Z9" i="14"/>
  <c r="AG9" i="14" s="1"/>
  <c r="AG7" i="14" s="1"/>
  <c r="Q48" i="1"/>
  <c r="Y5" i="11" s="1"/>
  <c r="P48" i="1"/>
  <c r="X5" i="11" s="1"/>
  <c r="G28" i="17"/>
  <c r="J40" i="17"/>
  <c r="P50" i="1"/>
  <c r="X6" i="11" s="1"/>
  <c r="G27" i="17"/>
  <c r="X24" i="11"/>
  <c r="X47" i="11"/>
  <c r="AE47" i="11" s="1"/>
  <c r="Z31" i="11"/>
  <c r="AF31" i="11"/>
  <c r="AF25" i="11" s="1"/>
  <c r="Y53" i="11"/>
  <c r="X52" i="11"/>
  <c r="W48" i="11"/>
  <c r="V48" i="11" s="1"/>
  <c r="Z17" i="13"/>
  <c r="Y15" i="13"/>
  <c r="AG34" i="14"/>
  <c r="AG21" i="14" s="1"/>
  <c r="AH34" i="14"/>
  <c r="AJ14" i="10"/>
  <c r="AP14" i="10" s="1"/>
  <c r="K73" i="17"/>
  <c r="K69" i="17"/>
  <c r="K70" i="17" s="1"/>
  <c r="K71" i="17" s="1"/>
  <c r="K72" i="17" s="1"/>
  <c r="K24" i="17"/>
  <c r="AB67" i="10"/>
  <c r="G140" i="16"/>
  <c r="H145" i="16" s="1"/>
  <c r="AJ35" i="12"/>
  <c r="H142" i="16"/>
  <c r="G138" i="16"/>
  <c r="H139" i="16"/>
  <c r="L68" i="17"/>
  <c r="K52" i="17"/>
  <c r="K51" i="17" s="1"/>
  <c r="AJ69" i="10"/>
  <c r="H42" i="16" s="1"/>
  <c r="I42" i="16" s="1"/>
  <c r="AJ70" i="10"/>
  <c r="AJ13" i="10"/>
  <c r="AJ11" i="10"/>
  <c r="AJ12" i="10"/>
  <c r="C97" i="16"/>
  <c r="T58" i="1"/>
  <c r="AA28" i="12"/>
  <c r="S60" i="1"/>
  <c r="Y10" i="12"/>
  <c r="AF10" i="12" s="1"/>
  <c r="X13" i="12"/>
  <c r="X16" i="12"/>
  <c r="AE16" i="12" s="1"/>
  <c r="X12" i="12"/>
  <c r="Y39" i="12"/>
  <c r="X37" i="12"/>
  <c r="AE9" i="12"/>
  <c r="X9" i="12"/>
  <c r="AB20" i="11"/>
  <c r="AI20" i="11" s="1"/>
  <c r="AK13" i="10"/>
  <c r="Y15" i="12"/>
  <c r="AF15" i="12" s="1"/>
  <c r="Z12" i="11"/>
  <c r="AG12" i="11" s="1"/>
  <c r="Q80" i="1"/>
  <c r="AI67" i="10"/>
  <c r="AI78" i="10"/>
  <c r="AB125" i="10"/>
  <c r="AI123" i="10" s="1"/>
  <c r="AK70" i="10"/>
  <c r="AJ81" i="10"/>
  <c r="AC128" i="10"/>
  <c r="T43" i="1"/>
  <c r="AA121" i="10"/>
  <c r="J25" i="17" s="1"/>
  <c r="J23" i="17" s="1"/>
  <c r="AC80" i="10"/>
  <c r="AC81" i="10"/>
  <c r="AC85" i="10" s="1"/>
  <c r="AC120" i="10"/>
  <c r="AC84" i="10"/>
  <c r="AC70" i="10"/>
  <c r="AA79" i="10"/>
  <c r="AH73" i="10"/>
  <c r="S5" i="1"/>
  <c r="S72" i="1" s="1"/>
  <c r="R70" i="1"/>
  <c r="R68" i="1" s="1"/>
  <c r="Z5" i="13" s="1"/>
  <c r="K75" i="16" s="1"/>
  <c r="Q51" i="1"/>
  <c r="R45" i="1"/>
  <c r="Q44" i="1"/>
  <c r="Y4" i="11" s="1"/>
  <c r="J69" i="16" s="1"/>
  <c r="R46" i="1"/>
  <c r="R79" i="1"/>
  <c r="R59" i="1"/>
  <c r="Z41" i="12" s="1"/>
  <c r="Q56" i="1"/>
  <c r="Y5" i="12" s="1"/>
  <c r="Q53" i="1"/>
  <c r="Y4" i="12" s="1"/>
  <c r="J70" i="16" s="1"/>
  <c r="Q61" i="1"/>
  <c r="Y6" i="12" s="1"/>
  <c r="J73" i="16" s="1"/>
  <c r="U69" i="1"/>
  <c r="R4" i="1"/>
  <c r="K51" i="16" s="1"/>
  <c r="S42" i="1"/>
  <c r="AA7" i="10" s="1"/>
  <c r="L67" i="16" s="1"/>
  <c r="S7" i="1"/>
  <c r="Q77" i="1" l="1"/>
  <c r="AF4" i="14"/>
  <c r="Z20" i="12"/>
  <c r="R52" i="1"/>
  <c r="Y18" i="11"/>
  <c r="AK35" i="12"/>
  <c r="Y14" i="11"/>
  <c r="AF16" i="11"/>
  <c r="AK69" i="10"/>
  <c r="L24" i="17"/>
  <c r="G17" i="16"/>
  <c r="D101" i="16" s="1"/>
  <c r="G45" i="16"/>
  <c r="AP70" i="10"/>
  <c r="AQ70" i="10" s="1"/>
  <c r="AR70" i="10" s="1"/>
  <c r="AS70" i="10" s="1"/>
  <c r="AT70" i="10" s="1"/>
  <c r="AQ14" i="10"/>
  <c r="AG6" i="14"/>
  <c r="E43" i="16"/>
  <c r="AA38" i="12"/>
  <c r="T26" i="1"/>
  <c r="L52" i="16"/>
  <c r="K53" i="16"/>
  <c r="I32" i="17"/>
  <c r="I34" i="17" s="1"/>
  <c r="I36" i="17" s="1"/>
  <c r="S48" i="17"/>
  <c r="Q49" i="17"/>
  <c r="AA40" i="12"/>
  <c r="AA20" i="13"/>
  <c r="AH20" i="13" s="1"/>
  <c r="F47" i="16" s="1"/>
  <c r="R48" i="1"/>
  <c r="Z5" i="11" s="1"/>
  <c r="I28" i="17"/>
  <c r="AH21" i="14"/>
  <c r="AA31" i="11"/>
  <c r="AG31" i="11"/>
  <c r="AG25" i="11" s="1"/>
  <c r="U8" i="1"/>
  <c r="M61" i="16"/>
  <c r="AE47" i="12"/>
  <c r="X48" i="12"/>
  <c r="X49" i="12" s="1"/>
  <c r="AE48" i="12" s="1"/>
  <c r="U9" i="1"/>
  <c r="N63" i="16" s="1"/>
  <c r="M63" i="16"/>
  <c r="J29" i="17"/>
  <c r="Y19" i="11"/>
  <c r="AF18" i="11"/>
  <c r="D7" i="16"/>
  <c r="H90" i="17" s="1"/>
  <c r="Y75" i="1"/>
  <c r="K40" i="17"/>
  <c r="Y52" i="11"/>
  <c r="X48" i="11"/>
  <c r="Z53" i="11"/>
  <c r="AE51" i="11"/>
  <c r="X44" i="11"/>
  <c r="AE49" i="11"/>
  <c r="Y24" i="11"/>
  <c r="AE50" i="11"/>
  <c r="AE24" i="11"/>
  <c r="S54" i="1"/>
  <c r="L50" i="16"/>
  <c r="AA9" i="14"/>
  <c r="AH9" i="14" s="1"/>
  <c r="AH7" i="14" s="1"/>
  <c r="H27" i="17"/>
  <c r="Y47" i="11"/>
  <c r="AF47" i="11" s="1"/>
  <c r="Y46" i="11"/>
  <c r="AF46" i="11" s="1"/>
  <c r="AA17" i="13"/>
  <c r="Z15" i="13"/>
  <c r="AE13" i="11"/>
  <c r="Y47" i="12"/>
  <c r="Y48" i="12" s="1"/>
  <c r="Y49" i="12" s="1"/>
  <c r="AF48" i="12" s="1"/>
  <c r="AF46" i="12"/>
  <c r="AF45" i="12"/>
  <c r="S63" i="1"/>
  <c r="AA43" i="12" s="1"/>
  <c r="Z50" i="12"/>
  <c r="Z46" i="12"/>
  <c r="Z44" i="12"/>
  <c r="Z45" i="12"/>
  <c r="T74" i="1"/>
  <c r="J50" i="17"/>
  <c r="J47" i="17" s="1"/>
  <c r="F134" i="16" s="1"/>
  <c r="J39" i="17"/>
  <c r="J46" i="17" s="1"/>
  <c r="J38" i="17" s="1"/>
  <c r="T57" i="1"/>
  <c r="AB38" i="12" s="1"/>
  <c r="AA27" i="12"/>
  <c r="AA29" i="12" s="1"/>
  <c r="AA34" i="12" s="1"/>
  <c r="L52" i="17"/>
  <c r="L51" i="17" s="1"/>
  <c r="O51" i="17" s="1"/>
  <c r="P51" i="17" s="1"/>
  <c r="Q51" i="17" s="1"/>
  <c r="R51" i="17" s="1"/>
  <c r="S51" i="17" s="1"/>
  <c r="AJ84" i="10"/>
  <c r="AK84" i="10" s="1"/>
  <c r="H140" i="16"/>
  <c r="H146" i="16"/>
  <c r="H138" i="16" s="1"/>
  <c r="AC20" i="11"/>
  <c r="AJ20" i="11" s="1"/>
  <c r="AK20" i="11" s="1"/>
  <c r="H17" i="16"/>
  <c r="D102" i="16" s="1"/>
  <c r="AK11" i="10"/>
  <c r="AK12" i="10"/>
  <c r="AC67" i="10"/>
  <c r="L73" i="17"/>
  <c r="L69" i="17"/>
  <c r="K67" i="17"/>
  <c r="AK14" i="10"/>
  <c r="T60" i="1"/>
  <c r="AE12" i="12"/>
  <c r="AE8" i="12" s="1"/>
  <c r="U58" i="1"/>
  <c r="AB28" i="12"/>
  <c r="Z39" i="12"/>
  <c r="Y37" i="12"/>
  <c r="AK67" i="10"/>
  <c r="Y13" i="12"/>
  <c r="Y12" i="12"/>
  <c r="Y16" i="12"/>
  <c r="AF16" i="12" s="1"/>
  <c r="Z15" i="12"/>
  <c r="AG15" i="12" s="1"/>
  <c r="Z10" i="12"/>
  <c r="AG10" i="12" s="1"/>
  <c r="AA12" i="11"/>
  <c r="AH12" i="11" s="1"/>
  <c r="Z10" i="11"/>
  <c r="Y17" i="11"/>
  <c r="AF17" i="11" s="1"/>
  <c r="Z16" i="11"/>
  <c r="AG16" i="11" s="1"/>
  <c r="AJ67" i="10"/>
  <c r="R80" i="1"/>
  <c r="AC82" i="10"/>
  <c r="AK81" i="10"/>
  <c r="AJ78" i="10"/>
  <c r="AK78" i="10" s="1"/>
  <c r="AC125" i="10"/>
  <c r="AJ123" i="10" s="1"/>
  <c r="AK123" i="10" s="1"/>
  <c r="S46" i="1"/>
  <c r="S52" i="1" s="1"/>
  <c r="U43" i="1"/>
  <c r="AC121" i="10" s="1"/>
  <c r="L25" i="17" s="1"/>
  <c r="O25" i="17" s="1"/>
  <c r="P25" i="17" s="1"/>
  <c r="Q25" i="17" s="1"/>
  <c r="R25" i="17" s="1"/>
  <c r="S25" i="17" s="1"/>
  <c r="AB121" i="10"/>
  <c r="K25" i="17" s="1"/>
  <c r="K23" i="17" s="1"/>
  <c r="AI73" i="10"/>
  <c r="AB79" i="10"/>
  <c r="R51" i="1"/>
  <c r="T5" i="1"/>
  <c r="S70" i="1"/>
  <c r="S68" i="1" s="1"/>
  <c r="AA5" i="13" s="1"/>
  <c r="L75" i="16" s="1"/>
  <c r="Q50" i="1"/>
  <c r="Y6" i="11" s="1"/>
  <c r="S45" i="1"/>
  <c r="R44" i="1"/>
  <c r="Z4" i="11" s="1"/>
  <c r="K69" i="16" s="1"/>
  <c r="S4" i="1"/>
  <c r="L51" i="16" s="1"/>
  <c r="R61" i="1"/>
  <c r="Z6" i="12" s="1"/>
  <c r="K73" i="16" s="1"/>
  <c r="S79" i="1"/>
  <c r="R53" i="1"/>
  <c r="Z4" i="12" s="1"/>
  <c r="K70" i="16" s="1"/>
  <c r="S59" i="1"/>
  <c r="AA41" i="12" s="1"/>
  <c r="R56" i="1"/>
  <c r="Z5" i="12" s="1"/>
  <c r="T42" i="1"/>
  <c r="AB7" i="10" s="1"/>
  <c r="M67" i="16" s="1"/>
  <c r="T7" i="1"/>
  <c r="AI34" i="14" l="1"/>
  <c r="R77" i="1"/>
  <c r="AG4" i="14"/>
  <c r="U7" i="1"/>
  <c r="H45" i="16"/>
  <c r="I45" i="16" s="1"/>
  <c r="AP20" i="11"/>
  <c r="AQ20" i="11" s="1"/>
  <c r="AR20" i="11" s="1"/>
  <c r="AS20" i="11" s="1"/>
  <c r="AT20" i="11" s="1"/>
  <c r="AH6" i="14"/>
  <c r="AH4" i="14" s="1"/>
  <c r="F43" i="16"/>
  <c r="AE43" i="12"/>
  <c r="AE42" i="12" s="1"/>
  <c r="C44" i="16"/>
  <c r="N61" i="16"/>
  <c r="P61" i="16" s="1"/>
  <c r="G8" i="1"/>
  <c r="U26" i="1"/>
  <c r="AR14" i="10"/>
  <c r="O24" i="17"/>
  <c r="L23" i="17"/>
  <c r="M52" i="16"/>
  <c r="L53" i="16"/>
  <c r="J32" i="17"/>
  <c r="J34" i="17" s="1"/>
  <c r="J36" i="17" s="1"/>
  <c r="M73" i="17"/>
  <c r="M67" i="17" s="1"/>
  <c r="M91" i="17" s="1"/>
  <c r="M94" i="17" s="1"/>
  <c r="I150" i="16" s="1"/>
  <c r="T48" i="17"/>
  <c r="S49" i="17" s="1"/>
  <c r="R49" i="17"/>
  <c r="AE48" i="11"/>
  <c r="AB40" i="12"/>
  <c r="AA20" i="12"/>
  <c r="AA36" i="12"/>
  <c r="AC28" i="12"/>
  <c r="L40" i="17"/>
  <c r="O40" i="17" s="1"/>
  <c r="P40" i="17" s="1"/>
  <c r="Q40" i="17" s="1"/>
  <c r="R40" i="17" s="1"/>
  <c r="S40" i="17" s="1"/>
  <c r="Z47" i="12"/>
  <c r="AG46" i="12"/>
  <c r="AG45" i="12"/>
  <c r="Y44" i="11"/>
  <c r="Z24" i="11"/>
  <c r="AF49" i="11"/>
  <c r="AF24" i="11"/>
  <c r="AF21" i="11" s="1"/>
  <c r="AF51" i="11"/>
  <c r="AA53" i="11"/>
  <c r="T4" i="1"/>
  <c r="M51" i="16" s="1"/>
  <c r="M50" i="16"/>
  <c r="AB9" i="14"/>
  <c r="AI9" i="14" s="1"/>
  <c r="AI7" i="14" s="1"/>
  <c r="U74" i="1"/>
  <c r="L50" i="17" s="1"/>
  <c r="O50" i="17" s="1"/>
  <c r="P50" i="17" s="1"/>
  <c r="Q50" i="17" s="1"/>
  <c r="R50" i="17" s="1"/>
  <c r="S50" i="17" s="1"/>
  <c r="K50" i="17"/>
  <c r="K47" i="17" s="1"/>
  <c r="AB17" i="13"/>
  <c r="L29" i="17"/>
  <c r="K29" i="17"/>
  <c r="K39" i="17"/>
  <c r="K46" i="17" s="1"/>
  <c r="K38" i="17" s="1"/>
  <c r="U57" i="1"/>
  <c r="AB27" i="12"/>
  <c r="AB29" i="12" s="1"/>
  <c r="AB34" i="12" s="1"/>
  <c r="AB36" i="12" s="1"/>
  <c r="T63" i="1"/>
  <c r="AA46" i="12"/>
  <c r="AA45" i="12"/>
  <c r="AA44" i="12"/>
  <c r="AA50" i="12"/>
  <c r="AE21" i="11"/>
  <c r="AE7" i="11" s="1"/>
  <c r="X45" i="11"/>
  <c r="AE44" i="11"/>
  <c r="Y48" i="11"/>
  <c r="Z52" i="11"/>
  <c r="AF47" i="12"/>
  <c r="AF43" i="12" s="1"/>
  <c r="AF42" i="12" s="1"/>
  <c r="AP37" i="14"/>
  <c r="AQ37" i="14" s="1"/>
  <c r="AR37" i="14" s="1"/>
  <c r="AS37" i="14" s="1"/>
  <c r="AT37" i="14" s="1"/>
  <c r="AI21" i="14"/>
  <c r="T72" i="1"/>
  <c r="I27" i="17"/>
  <c r="Z46" i="11"/>
  <c r="AG46" i="11" s="1"/>
  <c r="Z47" i="11"/>
  <c r="AG47" i="11" s="1"/>
  <c r="S48" i="1"/>
  <c r="AA5" i="11" s="1"/>
  <c r="J28" i="17"/>
  <c r="AA16" i="11"/>
  <c r="AH16" i="11" s="1"/>
  <c r="E7" i="16"/>
  <c r="I90" i="17" s="1"/>
  <c r="Z75" i="1"/>
  <c r="T54" i="1"/>
  <c r="Z18" i="11"/>
  <c r="AB31" i="11"/>
  <c r="AH31" i="11"/>
  <c r="AH25" i="11" s="1"/>
  <c r="AH15" i="13"/>
  <c r="AH14" i="13" s="1"/>
  <c r="AH4" i="13" s="1"/>
  <c r="AA16" i="13"/>
  <c r="AA15" i="13" s="1"/>
  <c r="I17" i="16"/>
  <c r="L70" i="17"/>
  <c r="L71" i="17" s="1"/>
  <c r="L72" i="17" s="1"/>
  <c r="AK73" i="10"/>
  <c r="AF12" i="12"/>
  <c r="U60" i="1"/>
  <c r="AC40" i="12"/>
  <c r="AC38" i="12"/>
  <c r="AA39" i="12"/>
  <c r="Z37" i="12"/>
  <c r="AA15" i="12"/>
  <c r="AH15" i="12" s="1"/>
  <c r="Z12" i="12"/>
  <c r="Z13" i="12"/>
  <c r="Z16" i="12"/>
  <c r="AG16" i="12" s="1"/>
  <c r="AA10" i="12"/>
  <c r="AH10" i="12" s="1"/>
  <c r="AA14" i="11"/>
  <c r="Z13" i="11"/>
  <c r="Z14" i="11"/>
  <c r="Z17" i="11"/>
  <c r="AG17" i="11" s="1"/>
  <c r="AF13" i="11"/>
  <c r="AA10" i="11"/>
  <c r="Z8" i="11"/>
  <c r="AG8" i="11"/>
  <c r="AB12" i="11"/>
  <c r="AI12" i="11" s="1"/>
  <c r="AH8" i="11"/>
  <c r="S51" i="1"/>
  <c r="T79" i="1"/>
  <c r="T80" i="1" s="1"/>
  <c r="S80" i="1"/>
  <c r="AJ73" i="10"/>
  <c r="R50" i="1"/>
  <c r="Z6" i="11" s="1"/>
  <c r="U42" i="1"/>
  <c r="AC7" i="10" s="1"/>
  <c r="N67" i="16" s="1"/>
  <c r="P67" i="16" s="1"/>
  <c r="AC79" i="10"/>
  <c r="U5" i="1"/>
  <c r="T70" i="1"/>
  <c r="T68" i="1" s="1"/>
  <c r="AB5" i="13" s="1"/>
  <c r="M75" i="16" s="1"/>
  <c r="T46" i="1"/>
  <c r="T52" i="1" s="1"/>
  <c r="T45" i="1"/>
  <c r="S44" i="1"/>
  <c r="AA4" i="11" s="1"/>
  <c r="L69" i="16" s="1"/>
  <c r="S53" i="1"/>
  <c r="AA4" i="12" s="1"/>
  <c r="L70" i="16" s="1"/>
  <c r="M13" i="1"/>
  <c r="S71" i="1"/>
  <c r="AA6" i="13" s="1"/>
  <c r="T59" i="1"/>
  <c r="AB41" i="12" s="1"/>
  <c r="S56" i="1"/>
  <c r="AA5" i="12" s="1"/>
  <c r="S61" i="1"/>
  <c r="AA6" i="12" s="1"/>
  <c r="L73" i="16" s="1"/>
  <c r="H81" i="1"/>
  <c r="P5" i="14" s="1"/>
  <c r="H32" i="1"/>
  <c r="H34" i="1"/>
  <c r="B51" i="16"/>
  <c r="AC66" i="10"/>
  <c r="AB66" i="10"/>
  <c r="AA66" i="10"/>
  <c r="Z66" i="10"/>
  <c r="Y66" i="10"/>
  <c r="X66" i="10"/>
  <c r="W66" i="10"/>
  <c r="U66" i="10"/>
  <c r="F7" i="16" l="1"/>
  <c r="J90" i="17" s="1"/>
  <c r="S77" i="1"/>
  <c r="AA75" i="1"/>
  <c r="O13" i="1"/>
  <c r="N13" i="1"/>
  <c r="AA17" i="11"/>
  <c r="AH17" i="11" s="1"/>
  <c r="G43" i="16"/>
  <c r="P24" i="17"/>
  <c r="O23" i="17"/>
  <c r="AS14" i="10"/>
  <c r="N52" i="16"/>
  <c r="N53" i="16" s="1"/>
  <c r="M53" i="16"/>
  <c r="K32" i="17"/>
  <c r="K34" i="17" s="1"/>
  <c r="K36" i="17" s="1"/>
  <c r="O29" i="17"/>
  <c r="L32" i="17"/>
  <c r="G134" i="16"/>
  <c r="L47" i="17"/>
  <c r="O47" i="17" s="1"/>
  <c r="P47" i="17" s="1"/>
  <c r="Q47" i="17" s="1"/>
  <c r="R47" i="17" s="1"/>
  <c r="S47" i="17" s="1"/>
  <c r="AB20" i="12"/>
  <c r="AC17" i="13"/>
  <c r="AA13" i="11"/>
  <c r="G64" i="16"/>
  <c r="G65" i="16" s="1"/>
  <c r="H65" i="16" s="1"/>
  <c r="I65" i="16" s="1"/>
  <c r="J65" i="16" s="1"/>
  <c r="K65" i="16" s="1"/>
  <c r="L65" i="16" s="1"/>
  <c r="M65" i="16" s="1"/>
  <c r="N65" i="16" s="1"/>
  <c r="U45" i="1"/>
  <c r="U70" i="1"/>
  <c r="U68" i="1" s="1"/>
  <c r="AC5" i="13" s="1"/>
  <c r="N75" i="16" s="1"/>
  <c r="P75" i="16" s="1"/>
  <c r="N50" i="16"/>
  <c r="AC9" i="14"/>
  <c r="AJ9" i="14" s="1"/>
  <c r="AJ7" i="14" s="1"/>
  <c r="S50" i="1"/>
  <c r="AA6" i="11" s="1"/>
  <c r="J27" i="17"/>
  <c r="AA46" i="11"/>
  <c r="AH46" i="11" s="1"/>
  <c r="AA47" i="11"/>
  <c r="AH47" i="11" s="1"/>
  <c r="Z19" i="11"/>
  <c r="AA18" i="11"/>
  <c r="AG18" i="11"/>
  <c r="L39" i="17"/>
  <c r="O39" i="17" s="1"/>
  <c r="P39" i="17" s="1"/>
  <c r="Q39" i="17" s="1"/>
  <c r="R39" i="17" s="1"/>
  <c r="S39" i="17" s="1"/>
  <c r="AC27" i="12"/>
  <c r="AC29" i="12" s="1"/>
  <c r="AC34" i="12" s="1"/>
  <c r="AC36" i="12" s="1"/>
  <c r="AB53" i="11"/>
  <c r="AG24" i="11"/>
  <c r="AG21" i="11" s="1"/>
  <c r="Z44" i="11"/>
  <c r="AG49" i="11"/>
  <c r="AA24" i="11"/>
  <c r="AG51" i="11"/>
  <c r="F6" i="16"/>
  <c r="AA67" i="1"/>
  <c r="U54" i="1"/>
  <c r="R70" i="16" s="1"/>
  <c r="S70" i="16" s="1"/>
  <c r="AJ21" i="14"/>
  <c r="AK34" i="14"/>
  <c r="AK21" i="14" s="1"/>
  <c r="AA47" i="12"/>
  <c r="AH46" i="12"/>
  <c r="AH45" i="12"/>
  <c r="Z48" i="12"/>
  <c r="Z49" i="12" s="1"/>
  <c r="AG48" i="12" s="1"/>
  <c r="AG47" i="12"/>
  <c r="T48" i="1"/>
  <c r="AB5" i="11" s="1"/>
  <c r="K28" i="17"/>
  <c r="AE45" i="11"/>
  <c r="X42" i="11"/>
  <c r="U63" i="1"/>
  <c r="U61" i="1" s="1"/>
  <c r="AC6" i="12" s="1"/>
  <c r="N73" i="16" s="1"/>
  <c r="P73" i="16" s="1"/>
  <c r="AB45" i="12"/>
  <c r="AB50" i="12"/>
  <c r="AB46" i="12"/>
  <c r="AB44" i="12"/>
  <c r="AA36" i="11"/>
  <c r="Y45" i="11"/>
  <c r="AF44" i="11"/>
  <c r="AB43" i="12"/>
  <c r="AC31" i="11"/>
  <c r="AJ31" i="11" s="1"/>
  <c r="AI31" i="11"/>
  <c r="AI25" i="11" s="1"/>
  <c r="U72" i="1"/>
  <c r="AC20" i="13" s="1"/>
  <c r="AJ20" i="13" s="1"/>
  <c r="AB20" i="13"/>
  <c r="AA52" i="11"/>
  <c r="Z48" i="11"/>
  <c r="AI6" i="14"/>
  <c r="L67" i="17"/>
  <c r="O67" i="17" s="1"/>
  <c r="P67" i="17" s="1"/>
  <c r="Q67" i="17" s="1"/>
  <c r="R67" i="17" s="1"/>
  <c r="S67" i="17" s="1"/>
  <c r="AB39" i="12"/>
  <c r="AA37" i="12"/>
  <c r="U59" i="1"/>
  <c r="AA13" i="12"/>
  <c r="AA12" i="12"/>
  <c r="AA16" i="12"/>
  <c r="AH16" i="12" s="1"/>
  <c r="AG12" i="12"/>
  <c r="AB15" i="12"/>
  <c r="AI15" i="12" s="1"/>
  <c r="AB10" i="12"/>
  <c r="AI10" i="12" s="1"/>
  <c r="AF7" i="11"/>
  <c r="AC12" i="11"/>
  <c r="AI8" i="11"/>
  <c r="AB10" i="11"/>
  <c r="AA8" i="11"/>
  <c r="AB16" i="11"/>
  <c r="AI16" i="11" s="1"/>
  <c r="AG13" i="11"/>
  <c r="U4" i="1"/>
  <c r="N51" i="16" s="1"/>
  <c r="U79" i="1"/>
  <c r="U46" i="1"/>
  <c r="U52" i="1" s="1"/>
  <c r="T44" i="1"/>
  <c r="AB4" i="11" s="1"/>
  <c r="M69" i="16" s="1"/>
  <c r="T51" i="1"/>
  <c r="T71" i="1"/>
  <c r="AB6" i="13" s="1"/>
  <c r="T61" i="1"/>
  <c r="AB6" i="12" s="1"/>
  <c r="M73" i="16" s="1"/>
  <c r="T53" i="1"/>
  <c r="AB4" i="12" s="1"/>
  <c r="M70" i="16" s="1"/>
  <c r="T56" i="1"/>
  <c r="AB5" i="12" s="1"/>
  <c r="H61" i="1"/>
  <c r="P6" i="12" s="1"/>
  <c r="B73" i="16" s="1"/>
  <c r="I61" i="1"/>
  <c r="Q6" i="12" s="1"/>
  <c r="C73" i="16" s="1"/>
  <c r="J61" i="1"/>
  <c r="R6" i="12" s="1"/>
  <c r="D73" i="16" s="1"/>
  <c r="K61" i="1"/>
  <c r="S6" i="12" s="1"/>
  <c r="E73" i="16" s="1"/>
  <c r="T116" i="10"/>
  <c r="T113" i="10" s="1"/>
  <c r="L81" i="1"/>
  <c r="T5" i="14" s="1"/>
  <c r="L78" i="1"/>
  <c r="AI4" i="14" l="1"/>
  <c r="T77" i="1" s="1"/>
  <c r="AK9" i="14"/>
  <c r="AK7" i="14" s="1"/>
  <c r="AK6" i="14" s="1"/>
  <c r="AK4" i="14" s="1"/>
  <c r="AI20" i="13"/>
  <c r="G47" i="16" s="1"/>
  <c r="AC20" i="12"/>
  <c r="H47" i="16"/>
  <c r="AP20" i="13"/>
  <c r="C34" i="16"/>
  <c r="AJ6" i="14"/>
  <c r="AP9" i="14"/>
  <c r="H43" i="16"/>
  <c r="I43" i="16" s="1"/>
  <c r="AT14" i="10"/>
  <c r="P23" i="17"/>
  <c r="Q24" i="17"/>
  <c r="H134" i="16"/>
  <c r="L46" i="17"/>
  <c r="L38" i="17" s="1"/>
  <c r="P29" i="17"/>
  <c r="O32" i="17"/>
  <c r="L34" i="17"/>
  <c r="L36" i="17" s="1"/>
  <c r="P50" i="16"/>
  <c r="AE42" i="11"/>
  <c r="AE41" i="11" s="1"/>
  <c r="AE4" i="11" s="1"/>
  <c r="C4" i="16" s="1"/>
  <c r="G87" i="17" s="1"/>
  <c r="AC43" i="12"/>
  <c r="AG43" i="12"/>
  <c r="AG42" i="12" s="1"/>
  <c r="K27" i="17"/>
  <c r="AB47" i="11"/>
  <c r="AI47" i="11" s="1"/>
  <c r="AB46" i="11"/>
  <c r="AI46" i="11" s="1"/>
  <c r="U48" i="1"/>
  <c r="AC5" i="11" s="1"/>
  <c r="L28" i="17"/>
  <c r="O28" i="17" s="1"/>
  <c r="P28" i="17" s="1"/>
  <c r="Q28" i="17" s="1"/>
  <c r="R28" i="17" s="1"/>
  <c r="S28" i="17" s="1"/>
  <c r="AA48" i="11"/>
  <c r="AB52" i="11"/>
  <c r="AB48" i="11" s="1"/>
  <c r="AK31" i="11"/>
  <c r="AJ25" i="11"/>
  <c r="AB47" i="12"/>
  <c r="AI46" i="12"/>
  <c r="AI45" i="12"/>
  <c r="AH24" i="11"/>
  <c r="AH21" i="11" s="1"/>
  <c r="AA44" i="11"/>
  <c r="AH49" i="11"/>
  <c r="AB24" i="11"/>
  <c r="AH51" i="11"/>
  <c r="R69" i="16"/>
  <c r="S69" i="16" s="1"/>
  <c r="J89" i="17"/>
  <c r="AC53" i="11"/>
  <c r="AI15" i="13"/>
  <c r="AI14" i="13" s="1"/>
  <c r="AI4" i="13" s="1"/>
  <c r="AK20" i="13"/>
  <c r="AK15" i="13" s="1"/>
  <c r="AK14" i="13" s="1"/>
  <c r="AK4" i="13" s="1"/>
  <c r="U44" i="1"/>
  <c r="AC4" i="11" s="1"/>
  <c r="N69" i="16" s="1"/>
  <c r="P69" i="16" s="1"/>
  <c r="G7" i="16"/>
  <c r="AB75" i="1"/>
  <c r="AC16" i="13"/>
  <c r="AC15" i="13" s="1"/>
  <c r="AJ15" i="13"/>
  <c r="AJ14" i="13" s="1"/>
  <c r="AJ4" i="13" s="1"/>
  <c r="AH47" i="12"/>
  <c r="AA48" i="12"/>
  <c r="AA49" i="12" s="1"/>
  <c r="AH48" i="12" s="1"/>
  <c r="Z45" i="11"/>
  <c r="AG44" i="11"/>
  <c r="AA19" i="11"/>
  <c r="AB18" i="11"/>
  <c r="AH18" i="11"/>
  <c r="AH13" i="11" s="1"/>
  <c r="P13" i="1"/>
  <c r="H64" i="16"/>
  <c r="AF45" i="11"/>
  <c r="AF42" i="11" s="1"/>
  <c r="Y42" i="11"/>
  <c r="R73" i="16"/>
  <c r="S73" i="16" s="1"/>
  <c r="AC45" i="12"/>
  <c r="AC44" i="12"/>
  <c r="AC50" i="12"/>
  <c r="AC46" i="12"/>
  <c r="AB36" i="11"/>
  <c r="U53" i="1"/>
  <c r="AC4" i="12" s="1"/>
  <c r="N70" i="16" s="1"/>
  <c r="P70" i="16" s="1"/>
  <c r="AJ12" i="11"/>
  <c r="AJ8" i="11" s="1"/>
  <c r="AC15" i="12"/>
  <c r="AJ15" i="12" s="1"/>
  <c r="AP15" i="12" s="1"/>
  <c r="AQ15" i="12" s="1"/>
  <c r="AR15" i="12" s="1"/>
  <c r="AS15" i="12" s="1"/>
  <c r="AT15" i="12" s="1"/>
  <c r="AC41" i="12"/>
  <c r="AC39" i="12"/>
  <c r="AC37" i="12" s="1"/>
  <c r="AB37" i="12"/>
  <c r="AH12" i="12"/>
  <c r="AC10" i="12"/>
  <c r="U56" i="1"/>
  <c r="AC5" i="12" s="1"/>
  <c r="AB13" i="12"/>
  <c r="AB12" i="12"/>
  <c r="AB16" i="12"/>
  <c r="AI16" i="12" s="1"/>
  <c r="AG7" i="11"/>
  <c r="AB13" i="11"/>
  <c r="AB14" i="11"/>
  <c r="AB17" i="11"/>
  <c r="AI17" i="11" s="1"/>
  <c r="AC10" i="11"/>
  <c r="AC8" i="11" s="1"/>
  <c r="AB8" i="11"/>
  <c r="AC16" i="11"/>
  <c r="AJ16" i="11" s="1"/>
  <c r="AP16" i="11" s="1"/>
  <c r="U80" i="1"/>
  <c r="U51" i="1"/>
  <c r="L27" i="17" s="1"/>
  <c r="O27" i="17" s="1"/>
  <c r="P27" i="17" s="1"/>
  <c r="Q27" i="17" s="1"/>
  <c r="R27" i="17" s="1"/>
  <c r="S27" i="17" s="1"/>
  <c r="T50" i="1"/>
  <c r="AB6" i="11" s="1"/>
  <c r="U71" i="1"/>
  <c r="AC6" i="13" s="1"/>
  <c r="T102" i="10"/>
  <c r="T101" i="10"/>
  <c r="T111" i="10" s="1"/>
  <c r="T100" i="10"/>
  <c r="T110" i="10" s="1"/>
  <c r="T99" i="10"/>
  <c r="T109" i="10" s="1"/>
  <c r="T98" i="10"/>
  <c r="T92" i="10"/>
  <c r="T87" i="10"/>
  <c r="H79" i="1"/>
  <c r="I79" i="1"/>
  <c r="J79" i="1"/>
  <c r="K79" i="1"/>
  <c r="L79" i="1"/>
  <c r="M80" i="1" s="1"/>
  <c r="L42" i="1"/>
  <c r="M66" i="1" s="1"/>
  <c r="L39" i="1"/>
  <c r="L41" i="1" s="1"/>
  <c r="L34" i="1"/>
  <c r="L32" i="1"/>
  <c r="L31" i="1"/>
  <c r="L28" i="1"/>
  <c r="F54" i="16" s="1"/>
  <c r="L22" i="1"/>
  <c r="L24" i="1" s="1"/>
  <c r="L19" i="1"/>
  <c r="T112" i="10" s="1"/>
  <c r="L12" i="1"/>
  <c r="L10" i="1" s="1"/>
  <c r="L4" i="1"/>
  <c r="F51" i="16" s="1"/>
  <c r="AJ4" i="14" l="1"/>
  <c r="U77" i="1" s="1"/>
  <c r="M24" i="1"/>
  <c r="O24" i="1" s="1"/>
  <c r="P24" i="1" s="1"/>
  <c r="Q24" i="1" s="1"/>
  <c r="R24" i="1" s="1"/>
  <c r="S24" i="1" s="1"/>
  <c r="T24" i="1" s="1"/>
  <c r="U24" i="1" s="1"/>
  <c r="N24" i="1"/>
  <c r="M75" i="1"/>
  <c r="U4" i="14" s="1"/>
  <c r="N80" i="1"/>
  <c r="I47" i="16"/>
  <c r="AB16" i="13"/>
  <c r="AB15" i="13" s="1"/>
  <c r="AC13" i="12"/>
  <c r="F55" i="16"/>
  <c r="F57" i="16" s="1"/>
  <c r="F56" i="16"/>
  <c r="E41" i="17"/>
  <c r="E43" i="17" s="1"/>
  <c r="E30" i="17"/>
  <c r="E33" i="17" s="1"/>
  <c r="E35" i="17" s="1"/>
  <c r="E37" i="17" s="1"/>
  <c r="E26" i="17" s="1"/>
  <c r="O66" i="1"/>
  <c r="N66" i="1" s="1"/>
  <c r="M64" i="1"/>
  <c r="AQ16" i="11"/>
  <c r="AH7" i="11"/>
  <c r="R24" i="17"/>
  <c r="Q23" i="17"/>
  <c r="AQ9" i="14"/>
  <c r="AP4" i="14"/>
  <c r="O105" i="17" s="1"/>
  <c r="O90" i="17" s="1"/>
  <c r="AP4" i="13"/>
  <c r="O104" i="17" s="1"/>
  <c r="O89" i="17" s="1"/>
  <c r="AQ20" i="13"/>
  <c r="Q29" i="17"/>
  <c r="O46" i="17"/>
  <c r="O38" i="17" s="1"/>
  <c r="P32" i="17"/>
  <c r="O34" i="17"/>
  <c r="O36" i="17" s="1"/>
  <c r="X44" i="1"/>
  <c r="AK12" i="11"/>
  <c r="AK8" i="11" s="1"/>
  <c r="F60" i="16"/>
  <c r="T27" i="14"/>
  <c r="AJ46" i="12"/>
  <c r="AK46" i="12" s="1"/>
  <c r="AC47" i="12"/>
  <c r="AJ45" i="12"/>
  <c r="AB19" i="11"/>
  <c r="AI18" i="11"/>
  <c r="AI13" i="11" s="1"/>
  <c r="AI24" i="11"/>
  <c r="AI21" i="11" s="1"/>
  <c r="AB44" i="11"/>
  <c r="AI49" i="11"/>
  <c r="AI51" i="11"/>
  <c r="AB48" i="12"/>
  <c r="AB49" i="12" s="1"/>
  <c r="AI48" i="12" s="1"/>
  <c r="AI47" i="12"/>
  <c r="H7" i="16"/>
  <c r="L90" i="17" s="1"/>
  <c r="AC75" i="1"/>
  <c r="AD75" i="1" s="1"/>
  <c r="AH43" i="12"/>
  <c r="AH42" i="12" s="1"/>
  <c r="I64" i="16"/>
  <c r="Q13" i="1"/>
  <c r="K90" i="17"/>
  <c r="G6" i="16"/>
  <c r="AB67" i="1"/>
  <c r="AA45" i="11"/>
  <c r="AH44" i="11"/>
  <c r="AC16" i="12"/>
  <c r="AJ16" i="12" s="1"/>
  <c r="AG45" i="11"/>
  <c r="AG42" i="11" s="1"/>
  <c r="Z42" i="11"/>
  <c r="AC67" i="1"/>
  <c r="H6" i="16"/>
  <c r="L89" i="17" s="1"/>
  <c r="AC12" i="12"/>
  <c r="AJ10" i="12"/>
  <c r="AI12" i="12"/>
  <c r="AK15" i="12"/>
  <c r="U50" i="1"/>
  <c r="AC6" i="11" s="1"/>
  <c r="AC46" i="11"/>
  <c r="AC47" i="11"/>
  <c r="AJ47" i="11" s="1"/>
  <c r="AC52" i="11"/>
  <c r="AC48" i="11" s="1"/>
  <c r="AC24" i="11"/>
  <c r="AC18" i="11"/>
  <c r="AJ18" i="11" s="1"/>
  <c r="AP18" i="11" s="1"/>
  <c r="AQ18" i="11" s="1"/>
  <c r="AR18" i="11" s="1"/>
  <c r="AS18" i="11" s="1"/>
  <c r="AT18" i="11" s="1"/>
  <c r="AC14" i="11"/>
  <c r="AC13" i="11"/>
  <c r="AC17" i="11"/>
  <c r="L36" i="1"/>
  <c r="T6" i="10" s="1"/>
  <c r="L33" i="1"/>
  <c r="L35" i="1" s="1"/>
  <c r="L14" i="1"/>
  <c r="T4" i="10" s="1"/>
  <c r="F66" i="16" s="1"/>
  <c r="L80" i="1"/>
  <c r="T97" i="10"/>
  <c r="T107" i="10" s="1"/>
  <c r="T108" i="10"/>
  <c r="T86" i="10" s="1"/>
  <c r="L30" i="1"/>
  <c r="P102" i="10"/>
  <c r="P101" i="10"/>
  <c r="P111" i="10" s="1"/>
  <c r="P100" i="10"/>
  <c r="P110" i="10" s="1"/>
  <c r="P99" i="10"/>
  <c r="P109" i="10" s="1"/>
  <c r="P98" i="10"/>
  <c r="P108" i="10" s="1"/>
  <c r="P92" i="10"/>
  <c r="P87" i="10"/>
  <c r="S36" i="10"/>
  <c r="R36" i="10"/>
  <c r="Q36" i="10"/>
  <c r="P36" i="10"/>
  <c r="T21" i="10"/>
  <c r="S21" i="10"/>
  <c r="R21" i="10"/>
  <c r="Q21" i="10"/>
  <c r="P21" i="10"/>
  <c r="T20" i="10"/>
  <c r="S20" i="10"/>
  <c r="R20" i="10"/>
  <c r="Q20" i="10"/>
  <c r="P20" i="10"/>
  <c r="N21" i="10"/>
  <c r="M21" i="10"/>
  <c r="N20" i="10"/>
  <c r="M20" i="10"/>
  <c r="T7" i="10"/>
  <c r="F67" i="16" s="1"/>
  <c r="I68" i="1"/>
  <c r="Q5" i="13" s="1"/>
  <c r="C75" i="16" s="1"/>
  <c r="J68" i="1"/>
  <c r="R5" i="13" s="1"/>
  <c r="D75" i="16" s="1"/>
  <c r="J71" i="1"/>
  <c r="R6" i="13" s="1"/>
  <c r="I71" i="1"/>
  <c r="Q6" i="13" s="1"/>
  <c r="I81" i="1"/>
  <c r="Q5" i="14" s="1"/>
  <c r="J81" i="1"/>
  <c r="R5" i="14" s="1"/>
  <c r="J80" i="1"/>
  <c r="I80" i="1"/>
  <c r="J78" i="1"/>
  <c r="I78" i="1"/>
  <c r="H80" i="1"/>
  <c r="H78" i="1"/>
  <c r="U7" i="12" l="1"/>
  <c r="G74" i="16"/>
  <c r="AK47" i="11"/>
  <c r="AK10" i="12"/>
  <c r="AP10" i="12"/>
  <c r="AJ12" i="12"/>
  <c r="AP16" i="12"/>
  <c r="AQ16" i="12" s="1"/>
  <c r="AR16" i="12" s="1"/>
  <c r="AS16" i="12" s="1"/>
  <c r="AT16" i="12" s="1"/>
  <c r="AR20" i="13"/>
  <c r="AQ4" i="13"/>
  <c r="P104" i="17" s="1"/>
  <c r="P89" i="17" s="1"/>
  <c r="AQ4" i="14"/>
  <c r="P105" i="17" s="1"/>
  <c r="P90" i="17" s="1"/>
  <c r="AR9" i="14"/>
  <c r="S24" i="17"/>
  <c r="S23" i="17" s="1"/>
  <c r="R23" i="17"/>
  <c r="AR16" i="11"/>
  <c r="F41" i="17"/>
  <c r="F43" i="17" s="1"/>
  <c r="F30" i="17"/>
  <c r="F33" i="17" s="1"/>
  <c r="F35" i="17" s="1"/>
  <c r="F37" i="17" s="1"/>
  <c r="F26" i="17" s="1"/>
  <c r="B133" i="16" s="1"/>
  <c r="P66" i="1"/>
  <c r="O64" i="1"/>
  <c r="P34" i="17"/>
  <c r="P36" i="17" s="1"/>
  <c r="Q32" i="17"/>
  <c r="P46" i="17"/>
  <c r="P38" i="17" s="1"/>
  <c r="R29" i="17"/>
  <c r="I7" i="16"/>
  <c r="I13" i="16"/>
  <c r="AI43" i="12"/>
  <c r="AI42" i="12" s="1"/>
  <c r="K89" i="17"/>
  <c r="I6" i="16"/>
  <c r="I12" i="16"/>
  <c r="L75" i="1"/>
  <c r="T4" i="14" s="1"/>
  <c r="AH45" i="11"/>
  <c r="AH42" i="11" s="1"/>
  <c r="AA42" i="11"/>
  <c r="R13" i="1"/>
  <c r="J64" i="16"/>
  <c r="AB45" i="11"/>
  <c r="AI44" i="11"/>
  <c r="AK16" i="12"/>
  <c r="AK45" i="12"/>
  <c r="AD67" i="1"/>
  <c r="AC48" i="12"/>
  <c r="AC49" i="12" s="1"/>
  <c r="AJ48" i="12" s="1"/>
  <c r="AK48" i="12" s="1"/>
  <c r="AJ47" i="12"/>
  <c r="AK47" i="12" s="1"/>
  <c r="AJ17" i="11"/>
  <c r="AC44" i="11"/>
  <c r="AC45" i="11" s="1"/>
  <c r="AJ24" i="11"/>
  <c r="AP24" i="11" s="1"/>
  <c r="AQ24" i="11" s="1"/>
  <c r="AR24" i="11" s="1"/>
  <c r="AS24" i="11" s="1"/>
  <c r="AT24" i="11" s="1"/>
  <c r="AJ46" i="11"/>
  <c r="AK46" i="11" s="1"/>
  <c r="AK12" i="12"/>
  <c r="AC19" i="11"/>
  <c r="AK18" i="11"/>
  <c r="AJ51" i="11"/>
  <c r="AK51" i="11" s="1"/>
  <c r="AJ49" i="11"/>
  <c r="AK16" i="11"/>
  <c r="AI7" i="11"/>
  <c r="L25" i="1"/>
  <c r="T5" i="10" s="1"/>
  <c r="I75" i="1"/>
  <c r="Q4" i="14" s="1"/>
  <c r="P97" i="10"/>
  <c r="P107" i="10" s="1"/>
  <c r="P19" i="10"/>
  <c r="J75" i="1"/>
  <c r="R4" i="14" s="1"/>
  <c r="Q19" i="10"/>
  <c r="S19" i="10"/>
  <c r="R19" i="10"/>
  <c r="T19" i="10"/>
  <c r="H75" i="1"/>
  <c r="P4" i="14" s="1"/>
  <c r="H71" i="1"/>
  <c r="P6" i="13" s="1"/>
  <c r="H68" i="1"/>
  <c r="P5" i="13" s="1"/>
  <c r="B75" i="16" s="1"/>
  <c r="I64" i="1"/>
  <c r="Q7" i="12" s="1"/>
  <c r="C74" i="16" s="1"/>
  <c r="H64" i="1"/>
  <c r="P7" i="12" s="1"/>
  <c r="B74" i="16" s="1"/>
  <c r="H56" i="1"/>
  <c r="P5" i="12" s="1"/>
  <c r="H53" i="1"/>
  <c r="P4" i="12" s="1"/>
  <c r="B70" i="16" s="1"/>
  <c r="I53" i="1"/>
  <c r="Q4" i="12" s="1"/>
  <c r="C70" i="16" s="1"/>
  <c r="J53" i="1"/>
  <c r="R4" i="12" s="1"/>
  <c r="D70" i="16" s="1"/>
  <c r="K53" i="1"/>
  <c r="S4" i="12" s="1"/>
  <c r="E70" i="16" s="1"/>
  <c r="H39" i="1"/>
  <c r="H41" i="1" s="1"/>
  <c r="K39" i="1"/>
  <c r="K41" i="1" s="1"/>
  <c r="K34" i="1"/>
  <c r="K32" i="1"/>
  <c r="H28" i="1"/>
  <c r="I4" i="1"/>
  <c r="C51" i="16" s="1"/>
  <c r="J4" i="1"/>
  <c r="D51" i="16" s="1"/>
  <c r="K4" i="1"/>
  <c r="E51" i="16" s="1"/>
  <c r="K28" i="1"/>
  <c r="K22" i="1"/>
  <c r="J22" i="1"/>
  <c r="I22" i="1"/>
  <c r="H22" i="1"/>
  <c r="H24" i="1" s="1"/>
  <c r="K17" i="1"/>
  <c r="K19" i="1" s="1"/>
  <c r="J17" i="1"/>
  <c r="I17" i="1"/>
  <c r="H17" i="1"/>
  <c r="M17" i="1" s="1"/>
  <c r="T36" i="10"/>
  <c r="U36" i="10" s="1"/>
  <c r="P46" i="10"/>
  <c r="Q46" i="10"/>
  <c r="R46" i="10"/>
  <c r="S46" i="10"/>
  <c r="T46" i="10"/>
  <c r="AE41" i="10" s="1"/>
  <c r="P47" i="10"/>
  <c r="Q47" i="10"/>
  <c r="R47" i="10"/>
  <c r="S47" i="10"/>
  <c r="T47" i="10"/>
  <c r="P50" i="10"/>
  <c r="Q50" i="10"/>
  <c r="R50" i="10"/>
  <c r="S50" i="10"/>
  <c r="T50" i="10"/>
  <c r="Q53" i="10"/>
  <c r="R53" i="10"/>
  <c r="S53" i="10"/>
  <c r="T53" i="10"/>
  <c r="P59" i="10"/>
  <c r="Q59" i="10"/>
  <c r="R59" i="10"/>
  <c r="S59" i="10"/>
  <c r="T59" i="10"/>
  <c r="P60" i="10"/>
  <c r="Q60" i="10"/>
  <c r="R60" i="10"/>
  <c r="S60" i="10"/>
  <c r="T60" i="10"/>
  <c r="P64" i="10"/>
  <c r="P65" i="10" s="1"/>
  <c r="Q64" i="10"/>
  <c r="Q65" i="10" s="1"/>
  <c r="R64" i="10"/>
  <c r="R65" i="10" s="1"/>
  <c r="S64" i="10"/>
  <c r="S65" i="10" s="1"/>
  <c r="T64" i="10"/>
  <c r="T65" i="10" s="1"/>
  <c r="O7" i="10"/>
  <c r="O6" i="10"/>
  <c r="O5" i="10"/>
  <c r="O4" i="10"/>
  <c r="N7" i="10"/>
  <c r="N6" i="10"/>
  <c r="N5" i="10"/>
  <c r="N4" i="10"/>
  <c r="Q5" i="10"/>
  <c r="R5" i="10"/>
  <c r="Q6" i="10"/>
  <c r="R6" i="10"/>
  <c r="P73" i="10"/>
  <c r="Q73" i="10"/>
  <c r="R73" i="10"/>
  <c r="S73" i="10"/>
  <c r="T73" i="10"/>
  <c r="S87" i="10"/>
  <c r="S92" i="10"/>
  <c r="S98" i="10"/>
  <c r="S99" i="10"/>
  <c r="S109" i="10" s="1"/>
  <c r="S100" i="10"/>
  <c r="S110" i="10" s="1"/>
  <c r="S101" i="10"/>
  <c r="S111" i="10" s="1"/>
  <c r="S102" i="10"/>
  <c r="P113" i="10"/>
  <c r="U113" i="10" s="1"/>
  <c r="Q113" i="10"/>
  <c r="R113" i="10"/>
  <c r="S113" i="10"/>
  <c r="W113" i="10" l="1"/>
  <c r="X113" i="10" s="1"/>
  <c r="V113" i="10"/>
  <c r="W36" i="10"/>
  <c r="X36" i="10" s="1"/>
  <c r="V36" i="10"/>
  <c r="W7" i="12"/>
  <c r="H74" i="16" s="1"/>
  <c r="N64" i="1"/>
  <c r="V7" i="12"/>
  <c r="K30" i="1"/>
  <c r="E54" i="16"/>
  <c r="AP49" i="11"/>
  <c r="AQ49" i="11" s="1"/>
  <c r="AR49" i="11" s="1"/>
  <c r="AS49" i="11" s="1"/>
  <c r="AT49" i="11" s="1"/>
  <c r="AK17" i="11"/>
  <c r="AP17" i="11"/>
  <c r="Q66" i="1"/>
  <c r="G41" i="17"/>
  <c r="G43" i="17" s="1"/>
  <c r="G30" i="17"/>
  <c r="G33" i="17" s="1"/>
  <c r="G35" i="17" s="1"/>
  <c r="G37" i="17" s="1"/>
  <c r="G26" i="17" s="1"/>
  <c r="AE40" i="12"/>
  <c r="X14" i="12"/>
  <c r="AE37" i="12"/>
  <c r="AE41" i="12"/>
  <c r="P64" i="1"/>
  <c r="X7" i="12" s="1"/>
  <c r="I74" i="16" s="1"/>
  <c r="AS16" i="11"/>
  <c r="AR4" i="14"/>
  <c r="Q105" i="17" s="1"/>
  <c r="Q90" i="17" s="1"/>
  <c r="AS9" i="14"/>
  <c r="AS20" i="13"/>
  <c r="AR4" i="13"/>
  <c r="Q104" i="17" s="1"/>
  <c r="Q89" i="17" s="1"/>
  <c r="AQ10" i="12"/>
  <c r="S29" i="17"/>
  <c r="R32" i="17"/>
  <c r="Q34" i="17"/>
  <c r="Q36" i="17" s="1"/>
  <c r="Q46" i="17"/>
  <c r="Q38" i="17" s="1"/>
  <c r="S13" i="1"/>
  <c r="K64" i="16"/>
  <c r="AJ43" i="12"/>
  <c r="AI45" i="11"/>
  <c r="AI42" i="11" s="1"/>
  <c r="AB42" i="11"/>
  <c r="S54" i="10"/>
  <c r="G62" i="17"/>
  <c r="AK13" i="11"/>
  <c r="AJ13" i="11"/>
  <c r="AJ44" i="11"/>
  <c r="AP44" i="11" s="1"/>
  <c r="AQ44" i="11" s="1"/>
  <c r="AR44" i="11" s="1"/>
  <c r="AS44" i="11" s="1"/>
  <c r="AT44" i="11" s="1"/>
  <c r="AK49" i="11"/>
  <c r="AJ21" i="11"/>
  <c r="AK24" i="11"/>
  <c r="AK21" i="11" s="1"/>
  <c r="AJ41" i="10"/>
  <c r="L62" i="17" s="1"/>
  <c r="L63" i="17" s="1"/>
  <c r="AH41" i="10"/>
  <c r="J62" i="17" s="1"/>
  <c r="J63" i="17" s="1"/>
  <c r="AG41" i="10"/>
  <c r="I62" i="17" s="1"/>
  <c r="AF41" i="10"/>
  <c r="H62" i="17" s="1"/>
  <c r="H63" i="17" s="1"/>
  <c r="AI41" i="10"/>
  <c r="K62" i="17" s="1"/>
  <c r="U19" i="10"/>
  <c r="AD36" i="10"/>
  <c r="U73" i="10"/>
  <c r="Q41" i="10"/>
  <c r="H30" i="1"/>
  <c r="M28" i="1"/>
  <c r="H19" i="1"/>
  <c r="H36" i="1" s="1"/>
  <c r="H33" i="1"/>
  <c r="H35" i="1" s="1"/>
  <c r="M35" i="1" s="1"/>
  <c r="K33" i="1"/>
  <c r="P54" i="10"/>
  <c r="R54" i="10"/>
  <c r="T41" i="10"/>
  <c r="R41" i="10"/>
  <c r="P41" i="10"/>
  <c r="S97" i="10"/>
  <c r="S107" i="10" s="1"/>
  <c r="T54" i="10"/>
  <c r="S108" i="10"/>
  <c r="Q54" i="10"/>
  <c r="S41" i="10"/>
  <c r="H31" i="1"/>
  <c r="K80" i="1"/>
  <c r="K78" i="1"/>
  <c r="K71" i="1"/>
  <c r="S6" i="13" s="1"/>
  <c r="J64" i="1"/>
  <c r="R7" i="12" s="1"/>
  <c r="D74" i="16" s="1"/>
  <c r="S7" i="12"/>
  <c r="E74" i="16" s="1"/>
  <c r="K56" i="1"/>
  <c r="S5" i="12" s="1"/>
  <c r="J42" i="1"/>
  <c r="R7" i="10" s="1"/>
  <c r="D67" i="16" s="1"/>
  <c r="I42" i="1"/>
  <c r="Q7" i="10" s="1"/>
  <c r="C67" i="16" s="1"/>
  <c r="P7" i="10"/>
  <c r="B67" i="16" s="1"/>
  <c r="K42" i="1"/>
  <c r="S7" i="10" s="1"/>
  <c r="E67" i="16" s="1"/>
  <c r="L68" i="1"/>
  <c r="T5" i="13" s="1"/>
  <c r="F75" i="16" s="1"/>
  <c r="K68" i="1"/>
  <c r="S5" i="13" s="1"/>
  <c r="E75" i="16" s="1"/>
  <c r="K31" i="1"/>
  <c r="K24" i="1"/>
  <c r="J24" i="1"/>
  <c r="I24" i="1"/>
  <c r="S112" i="10"/>
  <c r="J19" i="1"/>
  <c r="R112" i="10" s="1"/>
  <c r="I19" i="1"/>
  <c r="Q112" i="10" s="1"/>
  <c r="X27" i="10" l="1"/>
  <c r="G54" i="16"/>
  <c r="W73" i="10"/>
  <c r="X73" i="10" s="1"/>
  <c r="Y73" i="10" s="1"/>
  <c r="Z73" i="10" s="1"/>
  <c r="AA73" i="10" s="1"/>
  <c r="AB73" i="10" s="1"/>
  <c r="AC73" i="10" s="1"/>
  <c r="V73" i="10"/>
  <c r="W19" i="10"/>
  <c r="V19" i="10"/>
  <c r="G55" i="16"/>
  <c r="G57" i="16" s="1"/>
  <c r="G56" i="16"/>
  <c r="AJ42" i="12"/>
  <c r="AP43" i="12"/>
  <c r="AR10" i="12"/>
  <c r="AS4" i="13"/>
  <c r="R104" i="17" s="1"/>
  <c r="R89" i="17" s="1"/>
  <c r="AT20" i="13"/>
  <c r="AT4" i="13" s="1"/>
  <c r="S104" i="17" s="1"/>
  <c r="S89" i="17" s="1"/>
  <c r="AT9" i="14"/>
  <c r="AT4" i="14" s="1"/>
  <c r="S105" i="17" s="1"/>
  <c r="S90" i="17" s="1"/>
  <c r="AS4" i="14"/>
  <c r="R105" i="17" s="1"/>
  <c r="R90" i="17" s="1"/>
  <c r="AT16" i="11"/>
  <c r="C35" i="16"/>
  <c r="C26" i="16"/>
  <c r="AE36" i="12"/>
  <c r="AE19" i="12" s="1"/>
  <c r="AE4" i="12" s="1"/>
  <c r="C25" i="16"/>
  <c r="C46" i="16"/>
  <c r="R66" i="1"/>
  <c r="H41" i="17"/>
  <c r="H43" i="17" s="1"/>
  <c r="H30" i="17"/>
  <c r="H33" i="17" s="1"/>
  <c r="H35" i="17" s="1"/>
  <c r="H37" i="17" s="1"/>
  <c r="H26" i="17" s="1"/>
  <c r="Y11" i="12"/>
  <c r="Y14" i="12"/>
  <c r="AF41" i="12"/>
  <c r="AF40" i="12"/>
  <c r="AF37" i="12"/>
  <c r="Q64" i="1"/>
  <c r="Y7" i="12" s="1"/>
  <c r="J74" i="16" s="1"/>
  <c r="AQ17" i="11"/>
  <c r="AP4" i="11"/>
  <c r="O102" i="17" s="1"/>
  <c r="O87" i="17" s="1"/>
  <c r="E55" i="16"/>
  <c r="E57" i="16" s="1"/>
  <c r="E56" i="16"/>
  <c r="S32" i="17"/>
  <c r="S34" i="17" s="1"/>
  <c r="S36" i="17" s="1"/>
  <c r="R34" i="17"/>
  <c r="R36" i="17" s="1"/>
  <c r="S46" i="17"/>
  <c r="S38" i="17" s="1"/>
  <c r="R46" i="17"/>
  <c r="R38" i="17" s="1"/>
  <c r="T13" i="1"/>
  <c r="L64" i="16"/>
  <c r="I63" i="17"/>
  <c r="I64" i="17" s="1"/>
  <c r="I65" i="17" s="1"/>
  <c r="I66" i="17" s="1"/>
  <c r="I61" i="17" s="1"/>
  <c r="J64" i="17"/>
  <c r="J65" i="17" s="1"/>
  <c r="J66" i="17" s="1"/>
  <c r="J61" i="17" s="1"/>
  <c r="K63" i="17"/>
  <c r="K64" i="17" s="1"/>
  <c r="K65" i="17" s="1"/>
  <c r="K66" i="17" s="1"/>
  <c r="K61" i="17" s="1"/>
  <c r="L64" i="17"/>
  <c r="L65" i="17" s="1"/>
  <c r="L66" i="17" s="1"/>
  <c r="L61" i="17" s="1"/>
  <c r="O61" i="17" s="1"/>
  <c r="P61" i="17" s="1"/>
  <c r="Q61" i="17" s="1"/>
  <c r="R61" i="17" s="1"/>
  <c r="S61" i="17" s="1"/>
  <c r="H64" i="17"/>
  <c r="H65" i="17" s="1"/>
  <c r="H66" i="17" s="1"/>
  <c r="H61" i="17" s="1"/>
  <c r="G63" i="17"/>
  <c r="G64" i="17" s="1"/>
  <c r="G65" i="17" s="1"/>
  <c r="G66" i="17" s="1"/>
  <c r="AJ7" i="11"/>
  <c r="AJ45" i="11"/>
  <c r="AK45" i="11" s="1"/>
  <c r="AC42" i="11"/>
  <c r="AK44" i="11"/>
  <c r="AE36" i="10"/>
  <c r="AK41" i="10"/>
  <c r="M30" i="1"/>
  <c r="O28" i="1"/>
  <c r="U41" i="10"/>
  <c r="U54" i="10"/>
  <c r="M19" i="1"/>
  <c r="M41" i="1" s="1"/>
  <c r="H14" i="1"/>
  <c r="P4" i="10" s="1"/>
  <c r="B66" i="16" s="1"/>
  <c r="P112" i="10"/>
  <c r="P86" i="10" s="1"/>
  <c r="U86" i="10" s="1"/>
  <c r="S86" i="10"/>
  <c r="P6" i="10"/>
  <c r="H25" i="1"/>
  <c r="P5" i="10" s="1"/>
  <c r="K75" i="1"/>
  <c r="S4" i="14" s="1"/>
  <c r="K36" i="1"/>
  <c r="S6" i="10" s="1"/>
  <c r="K35" i="1"/>
  <c r="K25" i="1" s="1"/>
  <c r="S5" i="10" s="1"/>
  <c r="K14" i="1"/>
  <c r="S4" i="10" s="1"/>
  <c r="E66" i="16" s="1"/>
  <c r="I14" i="1"/>
  <c r="Q4" i="10" s="1"/>
  <c r="C66" i="16" s="1"/>
  <c r="J14" i="1"/>
  <c r="R4" i="10" s="1"/>
  <c r="D66" i="16" s="1"/>
  <c r="W54" i="10" l="1"/>
  <c r="V54" i="10"/>
  <c r="H54" i="16"/>
  <c r="N28" i="1"/>
  <c r="N30" i="1" s="1"/>
  <c r="W86" i="10"/>
  <c r="V86" i="10"/>
  <c r="AF36" i="12"/>
  <c r="AF19" i="12" s="1"/>
  <c r="H55" i="16"/>
  <c r="H57" i="16" s="1"/>
  <c r="H56" i="16"/>
  <c r="AR17" i="11"/>
  <c r="AQ4" i="11"/>
  <c r="P102" i="17" s="1"/>
  <c r="P87" i="17" s="1"/>
  <c r="AF11" i="12"/>
  <c r="AF9" i="12" s="1"/>
  <c r="AF8" i="12" s="1"/>
  <c r="Y9" i="12"/>
  <c r="S66" i="1"/>
  <c r="I41" i="17"/>
  <c r="I43" i="17" s="1"/>
  <c r="I30" i="17"/>
  <c r="I33" i="17" s="1"/>
  <c r="I35" i="17" s="1"/>
  <c r="I37" i="17" s="1"/>
  <c r="I26" i="17" s="1"/>
  <c r="Z14" i="12"/>
  <c r="AG37" i="12"/>
  <c r="AG40" i="12"/>
  <c r="AG41" i="12"/>
  <c r="Z11" i="12"/>
  <c r="R64" i="1"/>
  <c r="Z7" i="12" s="1"/>
  <c r="K74" i="16" s="1"/>
  <c r="X53" i="1"/>
  <c r="C5" i="16"/>
  <c r="AS10" i="12"/>
  <c r="AQ43" i="12"/>
  <c r="AP4" i="12"/>
  <c r="O103" i="17" s="1"/>
  <c r="O88" i="17" s="1"/>
  <c r="U13" i="1"/>
  <c r="N64" i="16" s="1"/>
  <c r="P64" i="16" s="1"/>
  <c r="M64" i="16"/>
  <c r="G61" i="17"/>
  <c r="AK42" i="11"/>
  <c r="AJ42" i="11"/>
  <c r="O30" i="1"/>
  <c r="P28" i="1"/>
  <c r="M14" i="1"/>
  <c r="U4" i="10" s="1"/>
  <c r="M25" i="1"/>
  <c r="U5" i="10" s="1"/>
  <c r="K10" i="1"/>
  <c r="J10" i="1"/>
  <c r="I10" i="1"/>
  <c r="H10" i="1"/>
  <c r="L7" i="1"/>
  <c r="K7" i="1"/>
  <c r="J7" i="1"/>
  <c r="I7" i="1"/>
  <c r="H7" i="1"/>
  <c r="AF4" i="12" l="1"/>
  <c r="G66" i="16"/>
  <c r="Q28" i="1"/>
  <c r="I54" i="16"/>
  <c r="AR43" i="12"/>
  <c r="AQ4" i="12"/>
  <c r="P103" i="17" s="1"/>
  <c r="P88" i="17" s="1"/>
  <c r="AT10" i="12"/>
  <c r="G88" i="17"/>
  <c r="AG11" i="12"/>
  <c r="AG9" i="12" s="1"/>
  <c r="AG8" i="12" s="1"/>
  <c r="Z9" i="12"/>
  <c r="AG36" i="12"/>
  <c r="T66" i="1"/>
  <c r="J41" i="17"/>
  <c r="J43" i="17" s="1"/>
  <c r="J30" i="17"/>
  <c r="J33" i="17" s="1"/>
  <c r="J35" i="17" s="1"/>
  <c r="J37" i="17" s="1"/>
  <c r="J26" i="17" s="1"/>
  <c r="AA14" i="12"/>
  <c r="AH37" i="12"/>
  <c r="AH41" i="12"/>
  <c r="AH40" i="12"/>
  <c r="AA11" i="12"/>
  <c r="S64" i="1"/>
  <c r="AA7" i="12" s="1"/>
  <c r="L74" i="16" s="1"/>
  <c r="Y53" i="1"/>
  <c r="D5" i="16"/>
  <c r="AS17" i="11"/>
  <c r="AR4" i="11"/>
  <c r="Q102" i="17" s="1"/>
  <c r="Q87" i="17" s="1"/>
  <c r="D60" i="16"/>
  <c r="R27" i="14"/>
  <c r="E60" i="16"/>
  <c r="S27" i="14"/>
  <c r="B60" i="16"/>
  <c r="P27" i="14"/>
  <c r="C60" i="16"/>
  <c r="Q27" i="14"/>
  <c r="M11" i="1"/>
  <c r="X9" i="10"/>
  <c r="M36" i="1"/>
  <c r="U6" i="10" s="1"/>
  <c r="P30" i="1"/>
  <c r="G58" i="16" l="1"/>
  <c r="G59" i="16" s="1"/>
  <c r="H59" i="16" s="1"/>
  <c r="I59" i="16" s="1"/>
  <c r="J59" i="16" s="1"/>
  <c r="K59" i="16" s="1"/>
  <c r="L59" i="16" s="1"/>
  <c r="M59" i="16" s="1"/>
  <c r="N59" i="16" s="1"/>
  <c r="AT17" i="11"/>
  <c r="AT4" i="11" s="1"/>
  <c r="S102" i="17" s="1"/>
  <c r="S87" i="17" s="1"/>
  <c r="AS4" i="11"/>
  <c r="R102" i="17" s="1"/>
  <c r="R87" i="17" s="1"/>
  <c r="H88" i="17"/>
  <c r="AH11" i="12"/>
  <c r="AH9" i="12" s="1"/>
  <c r="AH8" i="12" s="1"/>
  <c r="AA9" i="12"/>
  <c r="AH36" i="12"/>
  <c r="AH19" i="12" s="1"/>
  <c r="U66" i="1"/>
  <c r="K41" i="17"/>
  <c r="K43" i="17" s="1"/>
  <c r="K30" i="17"/>
  <c r="K33" i="17" s="1"/>
  <c r="K35" i="17" s="1"/>
  <c r="K37" i="17" s="1"/>
  <c r="K26" i="17" s="1"/>
  <c r="AB11" i="12"/>
  <c r="AB14" i="12"/>
  <c r="AI41" i="12"/>
  <c r="AI37" i="12"/>
  <c r="AI40" i="12"/>
  <c r="T64" i="1"/>
  <c r="AB7" i="12" s="1"/>
  <c r="M74" i="16" s="1"/>
  <c r="AS43" i="12"/>
  <c r="AR4" i="12"/>
  <c r="Q103" i="17" s="1"/>
  <c r="Q88" i="17" s="1"/>
  <c r="I55" i="16"/>
  <c r="I57" i="16" s="1"/>
  <c r="I56" i="16"/>
  <c r="R28" i="1"/>
  <c r="J54" i="16"/>
  <c r="M10" i="1"/>
  <c r="Q30" i="1"/>
  <c r="J55" i="16" l="1"/>
  <c r="J57" i="16" s="1"/>
  <c r="J56" i="16"/>
  <c r="S28" i="1"/>
  <c r="K54" i="16"/>
  <c r="AT43" i="12"/>
  <c r="AT4" i="12" s="1"/>
  <c r="S103" i="17" s="1"/>
  <c r="S88" i="17" s="1"/>
  <c r="AS4" i="12"/>
  <c r="R103" i="17" s="1"/>
  <c r="R88" i="17" s="1"/>
  <c r="Z53" i="1"/>
  <c r="E5" i="16"/>
  <c r="AI36" i="12"/>
  <c r="AI19" i="12" s="1"/>
  <c r="AI11" i="12"/>
  <c r="AI9" i="12" s="1"/>
  <c r="AI8" i="12" s="1"/>
  <c r="AI4" i="12" s="1"/>
  <c r="AB53" i="1" s="1"/>
  <c r="AB9" i="12"/>
  <c r="L41" i="17"/>
  <c r="L30" i="17"/>
  <c r="AC11" i="12"/>
  <c r="U64" i="1"/>
  <c r="AC7" i="12" s="1"/>
  <c r="N74" i="16" s="1"/>
  <c r="P74" i="16" s="1"/>
  <c r="AC14" i="12"/>
  <c r="AJ37" i="12"/>
  <c r="AJ40" i="12"/>
  <c r="AK40" i="12" s="1"/>
  <c r="AJ41" i="12"/>
  <c r="AK41" i="12" s="1"/>
  <c r="AH4" i="12"/>
  <c r="G60" i="16"/>
  <c r="U27" i="14"/>
  <c r="R30" i="1"/>
  <c r="F5" i="16" l="1"/>
  <c r="J88" i="17" s="1"/>
  <c r="AA53" i="1"/>
  <c r="AK37" i="12"/>
  <c r="AK36" i="12" s="1"/>
  <c r="AK19" i="12" s="1"/>
  <c r="AJ36" i="12"/>
  <c r="AJ19" i="12" s="1"/>
  <c r="AJ11" i="12"/>
  <c r="AC9" i="12"/>
  <c r="O30" i="17"/>
  <c r="L33" i="17"/>
  <c r="L35" i="17" s="1"/>
  <c r="L37" i="17" s="1"/>
  <c r="L26" i="17" s="1"/>
  <c r="O41" i="17"/>
  <c r="L43" i="17"/>
  <c r="G5" i="16"/>
  <c r="K88" i="17" s="1"/>
  <c r="I88" i="17"/>
  <c r="K55" i="16"/>
  <c r="K57" i="16" s="1"/>
  <c r="K56" i="16"/>
  <c r="T28" i="1"/>
  <c r="L54" i="16"/>
  <c r="S30" i="1"/>
  <c r="L55" i="16" l="1"/>
  <c r="L57" i="16" s="1"/>
  <c r="L56" i="16"/>
  <c r="U28" i="1"/>
  <c r="N54" i="16" s="1"/>
  <c r="M54" i="16"/>
  <c r="P41" i="17"/>
  <c r="O43" i="17"/>
  <c r="P30" i="17"/>
  <c r="O33" i="17"/>
  <c r="O35" i="17" s="1"/>
  <c r="O37" i="17" s="1"/>
  <c r="O26" i="17" s="1"/>
  <c r="AK11" i="12"/>
  <c r="AK9" i="12" s="1"/>
  <c r="AK8" i="12" s="1"/>
  <c r="AJ9" i="12"/>
  <c r="AJ8" i="12" s="1"/>
  <c r="AJ4" i="12" s="1"/>
  <c r="T30" i="1"/>
  <c r="O17" i="1"/>
  <c r="P17" i="1" l="1"/>
  <c r="N17" i="1"/>
  <c r="N19" i="1" s="1"/>
  <c r="N14" i="1" s="1"/>
  <c r="H5" i="16"/>
  <c r="AC53" i="1"/>
  <c r="AD53" i="1" s="1"/>
  <c r="Q30" i="17"/>
  <c r="P33" i="17"/>
  <c r="P35" i="17" s="1"/>
  <c r="P37" i="17" s="1"/>
  <c r="P26" i="17" s="1"/>
  <c r="Q41" i="17"/>
  <c r="P43" i="17"/>
  <c r="M55" i="16"/>
  <c r="M57" i="16" s="1"/>
  <c r="M56" i="16"/>
  <c r="N56" i="16"/>
  <c r="N55" i="16"/>
  <c r="N57" i="16" s="1"/>
  <c r="U30" i="1"/>
  <c r="P19" i="1"/>
  <c r="Q17" i="1"/>
  <c r="R17" i="1" s="1"/>
  <c r="O19" i="1"/>
  <c r="O35" i="1" l="1"/>
  <c r="N35" i="1" s="1"/>
  <c r="N25" i="1" s="1"/>
  <c r="O41" i="1"/>
  <c r="W117" i="10"/>
  <c r="V117" i="10" s="1"/>
  <c r="R41" i="17"/>
  <c r="Q43" i="17"/>
  <c r="R30" i="17"/>
  <c r="Q33" i="17"/>
  <c r="Q35" i="17" s="1"/>
  <c r="Q37" i="17" s="1"/>
  <c r="Q26" i="17" s="1"/>
  <c r="L88" i="17"/>
  <c r="I5" i="16"/>
  <c r="I11" i="16"/>
  <c r="AF25" i="10"/>
  <c r="AE23" i="10"/>
  <c r="X117" i="10"/>
  <c r="G18" i="17" s="1"/>
  <c r="G19" i="17" s="1"/>
  <c r="G22" i="17" s="1"/>
  <c r="G16" i="17" s="1"/>
  <c r="G106" i="17" s="1"/>
  <c r="C156" i="16" s="1"/>
  <c r="F18" i="17"/>
  <c r="F19" i="17" s="1"/>
  <c r="F22" i="17" s="1"/>
  <c r="F16" i="17" s="1"/>
  <c r="O14" i="1"/>
  <c r="W41" i="10"/>
  <c r="Q19" i="1"/>
  <c r="AG25" i="10" s="1"/>
  <c r="X54" i="10"/>
  <c r="P14" i="1"/>
  <c r="X4" i="10" s="1"/>
  <c r="I66" i="16" s="1"/>
  <c r="O11" i="1" l="1"/>
  <c r="N41" i="1"/>
  <c r="N36" i="1" s="1"/>
  <c r="P35" i="1"/>
  <c r="W4" i="10"/>
  <c r="V4" i="10" s="1"/>
  <c r="X41" i="10"/>
  <c r="V41" i="10"/>
  <c r="C40" i="16"/>
  <c r="AE19" i="10"/>
  <c r="S30" i="17"/>
  <c r="S33" i="17" s="1"/>
  <c r="S35" i="17" s="1"/>
  <c r="S37" i="17" s="1"/>
  <c r="S26" i="17" s="1"/>
  <c r="R33" i="17"/>
  <c r="R35" i="17" s="1"/>
  <c r="R37" i="17" s="1"/>
  <c r="R26" i="17" s="1"/>
  <c r="S41" i="17"/>
  <c r="S43" i="17" s="1"/>
  <c r="R43" i="17"/>
  <c r="F106" i="17"/>
  <c r="B156" i="16" s="1"/>
  <c r="F91" i="17"/>
  <c r="B160" i="16" s="1"/>
  <c r="E107" i="16"/>
  <c r="AF23" i="10"/>
  <c r="D40" i="16" s="1"/>
  <c r="G56" i="17"/>
  <c r="C28" i="16"/>
  <c r="C18" i="16"/>
  <c r="E97" i="16" s="1"/>
  <c r="B135" i="16"/>
  <c r="B132" i="16" s="1"/>
  <c r="C135" i="16"/>
  <c r="Y117" i="10"/>
  <c r="H18" i="17" s="1"/>
  <c r="H19" i="17" s="1"/>
  <c r="H22" i="17" s="1"/>
  <c r="H16" i="17" s="1"/>
  <c r="D135" i="16" s="1"/>
  <c r="Y54" i="10"/>
  <c r="Y41" i="10"/>
  <c r="O36" i="1"/>
  <c r="H58" i="16"/>
  <c r="Y9" i="10"/>
  <c r="P41" i="1"/>
  <c r="P36" i="1" s="1"/>
  <c r="R19" i="1"/>
  <c r="AH25" i="10" s="1"/>
  <c r="S17" i="1"/>
  <c r="Y36" i="10"/>
  <c r="Q14" i="1"/>
  <c r="Y4" i="10" s="1"/>
  <c r="J66" i="16" s="1"/>
  <c r="O25" i="1"/>
  <c r="X19" i="10"/>
  <c r="W5" i="10" l="1"/>
  <c r="V5" i="10" s="1"/>
  <c r="W6" i="10"/>
  <c r="V6" i="10" s="1"/>
  <c r="O10" i="1"/>
  <c r="N11" i="1"/>
  <c r="N10" i="1" s="1"/>
  <c r="H66" i="16"/>
  <c r="F94" i="17"/>
  <c r="B150" i="16" s="1"/>
  <c r="G57" i="17"/>
  <c r="G58" i="17" s="1"/>
  <c r="G59" i="17" s="1"/>
  <c r="G60" i="17" s="1"/>
  <c r="F107" i="16"/>
  <c r="H56" i="17"/>
  <c r="Q108" i="16"/>
  <c r="E113" i="16"/>
  <c r="M108" i="16" s="1"/>
  <c r="R14" i="1"/>
  <c r="Z4" i="10" s="1"/>
  <c r="K66" i="16" s="1"/>
  <c r="Z129" i="10"/>
  <c r="AG23" i="10"/>
  <c r="Z117" i="10"/>
  <c r="I18" i="17" s="1"/>
  <c r="I19" i="17" s="1"/>
  <c r="I22" i="17" s="1"/>
  <c r="I16" i="17" s="1"/>
  <c r="E135" i="16" s="1"/>
  <c r="N77" i="1"/>
  <c r="N81" i="1" s="1"/>
  <c r="X33" i="10"/>
  <c r="Y19" i="10"/>
  <c r="Z36" i="10"/>
  <c r="Z41" i="10"/>
  <c r="Q41" i="1"/>
  <c r="Y33" i="10" s="1"/>
  <c r="Z9" i="10"/>
  <c r="X6" i="10"/>
  <c r="P25" i="1"/>
  <c r="X5" i="10" s="1"/>
  <c r="Q35" i="1"/>
  <c r="P11" i="1"/>
  <c r="I58" i="16" s="1"/>
  <c r="T17" i="1"/>
  <c r="S19" i="1"/>
  <c r="AI25" i="10" s="1"/>
  <c r="Z54" i="10"/>
  <c r="G107" i="16" l="1"/>
  <c r="Q110" i="16" s="1"/>
  <c r="E40" i="16"/>
  <c r="W27" i="14"/>
  <c r="V27" i="14" s="1"/>
  <c r="H60" i="16"/>
  <c r="H57" i="17"/>
  <c r="H58" i="17" s="1"/>
  <c r="H59" i="17" s="1"/>
  <c r="H60" i="17" s="1"/>
  <c r="H55" i="17" s="1"/>
  <c r="Q109" i="16"/>
  <c r="F113" i="16"/>
  <c r="M109" i="16" s="1"/>
  <c r="G55" i="17"/>
  <c r="C133" i="16"/>
  <c r="Y28" i="10"/>
  <c r="AF50" i="11"/>
  <c r="I56" i="17"/>
  <c r="AF33" i="10"/>
  <c r="D37" i="16" s="1"/>
  <c r="Y31" i="10"/>
  <c r="Y30" i="10"/>
  <c r="AE33" i="10"/>
  <c r="C37" i="16" s="1"/>
  <c r="X30" i="10"/>
  <c r="O78" i="1"/>
  <c r="O81" i="1"/>
  <c r="AH23" i="10"/>
  <c r="X34" i="10"/>
  <c r="AE34" i="10" s="1"/>
  <c r="S14" i="1"/>
  <c r="AA4" i="10" s="1"/>
  <c r="L66" i="16" s="1"/>
  <c r="AA117" i="10"/>
  <c r="AA129" i="10"/>
  <c r="AG129" i="10"/>
  <c r="AF118" i="10"/>
  <c r="D44" i="16" s="1"/>
  <c r="AD30" i="10"/>
  <c r="AA36" i="10"/>
  <c r="AA41" i="10"/>
  <c r="AA54" i="10"/>
  <c r="Y26" i="10"/>
  <c r="AF26" i="10" s="1"/>
  <c r="D34" i="16" s="1"/>
  <c r="Y29" i="10"/>
  <c r="R35" i="1"/>
  <c r="Q25" i="1"/>
  <c r="Y5" i="10" s="1"/>
  <c r="X31" i="10"/>
  <c r="Y34" i="10"/>
  <c r="AF34" i="10" s="1"/>
  <c r="Q11" i="1"/>
  <c r="J58" i="16" s="1"/>
  <c r="P10" i="1"/>
  <c r="Z19" i="10"/>
  <c r="T19" i="1"/>
  <c r="AJ25" i="10" s="1"/>
  <c r="U17" i="1"/>
  <c r="AA9" i="10"/>
  <c r="R41" i="1"/>
  <c r="Q36" i="1"/>
  <c r="Y6" i="10" s="1"/>
  <c r="O75" i="1" l="1"/>
  <c r="N78" i="1"/>
  <c r="N75" i="1" s="1"/>
  <c r="W4" i="14"/>
  <c r="V4" i="14" s="1"/>
  <c r="W5" i="14"/>
  <c r="V5" i="14" s="1"/>
  <c r="G113" i="16"/>
  <c r="M110" i="16" s="1"/>
  <c r="H107" i="16"/>
  <c r="H113" i="16" s="1"/>
  <c r="M111" i="16" s="1"/>
  <c r="F40" i="16"/>
  <c r="AF48" i="11"/>
  <c r="AF41" i="11" s="1"/>
  <c r="AF4" i="11" s="1"/>
  <c r="Y44" i="1" s="1"/>
  <c r="D46" i="16"/>
  <c r="X27" i="14"/>
  <c r="I60" i="16"/>
  <c r="AG118" i="10"/>
  <c r="R25" i="1"/>
  <c r="AG50" i="11"/>
  <c r="D4" i="16"/>
  <c r="H3" i="17"/>
  <c r="H2" i="17" s="1"/>
  <c r="Y35" i="10"/>
  <c r="AF35" i="10" s="1"/>
  <c r="AF29" i="10"/>
  <c r="D36" i="16" s="1"/>
  <c r="H7" i="17"/>
  <c r="H6" i="17" s="1"/>
  <c r="J56" i="17"/>
  <c r="D18" i="16"/>
  <c r="D28" i="16"/>
  <c r="AB117" i="10"/>
  <c r="K18" i="17" s="1"/>
  <c r="K19" i="17" s="1"/>
  <c r="K22" i="17" s="1"/>
  <c r="K16" i="17" s="1"/>
  <c r="G135" i="16" s="1"/>
  <c r="J18" i="17"/>
  <c r="J19" i="17" s="1"/>
  <c r="J22" i="17" s="1"/>
  <c r="J16" i="17" s="1"/>
  <c r="F135" i="16" s="1"/>
  <c r="I57" i="17"/>
  <c r="I58" i="17" s="1"/>
  <c r="I59" i="17" s="1"/>
  <c r="I60" i="17" s="1"/>
  <c r="I55" i="17" s="1"/>
  <c r="X18" i="10"/>
  <c r="AI23" i="10"/>
  <c r="AF86" i="10"/>
  <c r="AF66" i="10" s="1"/>
  <c r="AD9" i="10"/>
  <c r="AD8" i="10" s="1"/>
  <c r="AD4" i="10" s="1"/>
  <c r="AF19" i="10"/>
  <c r="AB129" i="10"/>
  <c r="AH129" i="10"/>
  <c r="T14" i="1"/>
  <c r="AB4" i="10" s="1"/>
  <c r="M66" i="16" s="1"/>
  <c r="AK25" i="10"/>
  <c r="AF28" i="10"/>
  <c r="D35" i="16" s="1"/>
  <c r="AE30" i="10"/>
  <c r="AB36" i="10"/>
  <c r="U19" i="1"/>
  <c r="R11" i="1"/>
  <c r="K58" i="16" s="1"/>
  <c r="Q10" i="1"/>
  <c r="S35" i="1"/>
  <c r="Z5" i="10"/>
  <c r="AB9" i="10"/>
  <c r="S41" i="1"/>
  <c r="AA33" i="10" s="1"/>
  <c r="R36" i="1"/>
  <c r="Z6" i="10" s="1"/>
  <c r="Z29" i="10"/>
  <c r="AB41" i="10"/>
  <c r="Z26" i="10"/>
  <c r="AG26" i="10" s="1"/>
  <c r="Z33" i="10"/>
  <c r="AA19" i="10"/>
  <c r="AB54" i="10"/>
  <c r="Y27" i="10"/>
  <c r="Z28" i="10"/>
  <c r="I3" i="17" s="1"/>
  <c r="I2" i="17" s="1"/>
  <c r="Y39" i="10"/>
  <c r="Q111" i="16" l="1"/>
  <c r="I107" i="16"/>
  <c r="Q112" i="16" s="1"/>
  <c r="G40" i="16"/>
  <c r="D23" i="16"/>
  <c r="D38" i="16"/>
  <c r="AG48" i="11"/>
  <c r="AG41" i="11" s="1"/>
  <c r="AG4" i="11" s="1"/>
  <c r="E46" i="16"/>
  <c r="AG86" i="10"/>
  <c r="E44" i="16"/>
  <c r="H106" i="17"/>
  <c r="D156" i="16" s="1"/>
  <c r="H87" i="17"/>
  <c r="U14" i="1"/>
  <c r="AC4" i="10" s="1"/>
  <c r="N66" i="16" s="1"/>
  <c r="P66" i="16" s="1"/>
  <c r="R66" i="16"/>
  <c r="S66" i="16" s="1"/>
  <c r="AH118" i="10"/>
  <c r="AH50" i="11"/>
  <c r="Y27" i="14"/>
  <c r="J60" i="16"/>
  <c r="Z44" i="1"/>
  <c r="E4" i="16"/>
  <c r="I87" i="17" s="1"/>
  <c r="E98" i="16"/>
  <c r="AH33" i="10"/>
  <c r="F37" i="16" s="1"/>
  <c r="AA30" i="10"/>
  <c r="AJ23" i="10"/>
  <c r="K56" i="17"/>
  <c r="K57" i="17" s="1"/>
  <c r="AG29" i="10"/>
  <c r="E36" i="16" s="1"/>
  <c r="I7" i="17"/>
  <c r="I6" i="17" s="1"/>
  <c r="E133" i="16" s="1"/>
  <c r="AE18" i="10"/>
  <c r="J57" i="17"/>
  <c r="J58" i="17" s="1"/>
  <c r="J59" i="17" s="1"/>
  <c r="J60" i="17" s="1"/>
  <c r="J55" i="17" s="1"/>
  <c r="E18" i="16"/>
  <c r="E99" i="16" s="1"/>
  <c r="E28" i="16"/>
  <c r="AF27" i="10"/>
  <c r="D26" i="16"/>
  <c r="AG33" i="10"/>
  <c r="E37" i="16" s="1"/>
  <c r="Z30" i="10"/>
  <c r="W14" i="1"/>
  <c r="W4" i="1" s="1"/>
  <c r="B3" i="16"/>
  <c r="D133" i="16"/>
  <c r="D16" i="16"/>
  <c r="D24" i="16"/>
  <c r="Y18" i="10"/>
  <c r="AF18" i="10" s="1"/>
  <c r="AC117" i="10"/>
  <c r="L18" i="17" s="1"/>
  <c r="AF30" i="10"/>
  <c r="AC129" i="10"/>
  <c r="AJ129" i="10" s="1"/>
  <c r="AI129" i="10"/>
  <c r="AF39" i="10"/>
  <c r="D39" i="16" s="1"/>
  <c r="AG19" i="10"/>
  <c r="Z35" i="10"/>
  <c r="AG35" i="10" s="1"/>
  <c r="AG28" i="10"/>
  <c r="E35" i="16" s="1"/>
  <c r="AC36" i="10"/>
  <c r="AC41" i="10"/>
  <c r="AA26" i="10"/>
  <c r="AH26" i="10" s="1"/>
  <c r="AA29" i="10"/>
  <c r="Z34" i="10"/>
  <c r="AG34" i="10" s="1"/>
  <c r="Z31" i="10"/>
  <c r="T35" i="1"/>
  <c r="S25" i="1"/>
  <c r="AA5" i="10" s="1"/>
  <c r="R10" i="1"/>
  <c r="S11" i="1"/>
  <c r="L58" i="16" s="1"/>
  <c r="Z39" i="10"/>
  <c r="Z27" i="10"/>
  <c r="AA28" i="10"/>
  <c r="J3" i="17" s="1"/>
  <c r="J2" i="17" s="1"/>
  <c r="AC54" i="10"/>
  <c r="AA34" i="10"/>
  <c r="AH34" i="10" s="1"/>
  <c r="AA31" i="10"/>
  <c r="AB19" i="10"/>
  <c r="S36" i="1"/>
  <c r="AA6" i="10" s="1"/>
  <c r="T41" i="1"/>
  <c r="AB33" i="10" s="1"/>
  <c r="AC9" i="10"/>
  <c r="Z18" i="10" l="1"/>
  <c r="I113" i="16"/>
  <c r="M112" i="16" s="1"/>
  <c r="E23" i="16"/>
  <c r="E38" i="16"/>
  <c r="D33" i="16"/>
  <c r="D32" i="16" s="1"/>
  <c r="C33" i="16"/>
  <c r="P81" i="1"/>
  <c r="X5" i="14" s="1"/>
  <c r="J107" i="16"/>
  <c r="Q113" i="16" s="1"/>
  <c r="H40" i="16"/>
  <c r="I40" i="16" s="1"/>
  <c r="AH48" i="11"/>
  <c r="AH41" i="11" s="1"/>
  <c r="AH4" i="11" s="1"/>
  <c r="F4" i="16" s="1"/>
  <c r="J87" i="17" s="1"/>
  <c r="F46" i="16"/>
  <c r="AH86" i="10"/>
  <c r="F44" i="16"/>
  <c r="I106" i="17"/>
  <c r="E156" i="16" s="1"/>
  <c r="O18" i="17"/>
  <c r="L19" i="17"/>
  <c r="L22" i="17" s="1"/>
  <c r="L16" i="17" s="1"/>
  <c r="H135" i="16" s="1"/>
  <c r="AA44" i="1"/>
  <c r="Z27" i="14"/>
  <c r="K60" i="16"/>
  <c r="AI118" i="10"/>
  <c r="AI50" i="11"/>
  <c r="AG18" i="10"/>
  <c r="E33" i="16" s="1"/>
  <c r="H54" i="17"/>
  <c r="H53" i="17" s="1"/>
  <c r="H91" i="17" s="1"/>
  <c r="D160" i="16" s="1"/>
  <c r="D15" i="16"/>
  <c r="D128" i="16" s="1"/>
  <c r="D27" i="16"/>
  <c r="K58" i="17"/>
  <c r="K59" i="17" s="1"/>
  <c r="K60" i="17" s="1"/>
  <c r="K55" i="17" s="1"/>
  <c r="F28" i="16"/>
  <c r="F18" i="16"/>
  <c r="E100" i="16" s="1"/>
  <c r="AG27" i="10"/>
  <c r="AI33" i="10"/>
  <c r="G37" i="16" s="1"/>
  <c r="AB30" i="10"/>
  <c r="AH29" i="10"/>
  <c r="F36" i="16" s="1"/>
  <c r="J7" i="17"/>
  <c r="J6" i="17" s="1"/>
  <c r="J106" i="17" s="1"/>
  <c r="F156" i="16" s="1"/>
  <c r="D25" i="16"/>
  <c r="D19" i="16"/>
  <c r="E24" i="16"/>
  <c r="L56" i="17"/>
  <c r="AK23" i="10"/>
  <c r="C98" i="16"/>
  <c r="F86" i="17"/>
  <c r="F85" i="17" s="1"/>
  <c r="B159" i="16" s="1"/>
  <c r="B2" i="16"/>
  <c r="G54" i="17"/>
  <c r="G53" i="17" s="1"/>
  <c r="C15" i="16"/>
  <c r="C128" i="16" s="1"/>
  <c r="C27" i="16"/>
  <c r="AK129" i="10"/>
  <c r="AF9" i="10"/>
  <c r="AF36" i="10"/>
  <c r="AE9" i="10"/>
  <c r="AE8" i="10" s="1"/>
  <c r="AE4" i="10" s="1"/>
  <c r="AG39" i="10"/>
  <c r="E39" i="16" s="1"/>
  <c r="AH19" i="10"/>
  <c r="AH28" i="10"/>
  <c r="F35" i="16" s="1"/>
  <c r="AA35" i="10"/>
  <c r="AH35" i="10" s="1"/>
  <c r="AG30" i="10"/>
  <c r="AG9" i="10"/>
  <c r="AA18" i="10"/>
  <c r="AH18" i="10" s="1"/>
  <c r="F33" i="16" s="1"/>
  <c r="AB31" i="10"/>
  <c r="AB34" i="10"/>
  <c r="AI34" i="10" s="1"/>
  <c r="U35" i="1"/>
  <c r="AJ50" i="11" s="1"/>
  <c r="H46" i="16" s="1"/>
  <c r="T25" i="1"/>
  <c r="AB5" i="10" s="1"/>
  <c r="AA27" i="10"/>
  <c r="AB28" i="10"/>
  <c r="K3" i="17" s="1"/>
  <c r="K2" i="17" s="1"/>
  <c r="AA39" i="10"/>
  <c r="AB26" i="10"/>
  <c r="AI26" i="10" s="1"/>
  <c r="T36" i="1"/>
  <c r="AB6" i="10" s="1"/>
  <c r="U41" i="1"/>
  <c r="U36" i="1" s="1"/>
  <c r="AC6" i="10" s="1"/>
  <c r="AB29" i="10"/>
  <c r="AC19" i="10"/>
  <c r="T11" i="1"/>
  <c r="M58" i="16" s="1"/>
  <c r="S10" i="1"/>
  <c r="P78" i="1" l="1"/>
  <c r="P75" i="1" s="1"/>
  <c r="X4" i="14" s="1"/>
  <c r="J113" i="16"/>
  <c r="M113" i="16" s="1"/>
  <c r="F23" i="16"/>
  <c r="F38" i="16"/>
  <c r="AI48" i="11"/>
  <c r="AI41" i="11" s="1"/>
  <c r="AI4" i="11" s="1"/>
  <c r="G46" i="16"/>
  <c r="I46" i="16" s="1"/>
  <c r="AI86" i="10"/>
  <c r="G44" i="16"/>
  <c r="C32" i="16"/>
  <c r="D108" i="16"/>
  <c r="F100" i="17" s="1"/>
  <c r="B155" i="16" s="1"/>
  <c r="B175" i="16"/>
  <c r="O19" i="17"/>
  <c r="O22" i="17" s="1"/>
  <c r="O16" i="17" s="1"/>
  <c r="P18" i="17"/>
  <c r="AB44" i="1"/>
  <c r="G4" i="16"/>
  <c r="AA27" i="14"/>
  <c r="L60" i="16"/>
  <c r="AK50" i="11"/>
  <c r="AJ48" i="11"/>
  <c r="AJ41" i="11" s="1"/>
  <c r="AJ4" i="11" s="1"/>
  <c r="F93" i="17"/>
  <c r="D21" i="16"/>
  <c r="AI29" i="10"/>
  <c r="G36" i="16" s="1"/>
  <c r="K7" i="17"/>
  <c r="K6" i="17" s="1"/>
  <c r="G133" i="16" s="1"/>
  <c r="F98" i="16"/>
  <c r="I54" i="17"/>
  <c r="I53" i="17" s="1"/>
  <c r="E15" i="16"/>
  <c r="E128" i="16" s="1"/>
  <c r="E27" i="16"/>
  <c r="X14" i="1"/>
  <c r="X4" i="1" s="1"/>
  <c r="C3" i="16"/>
  <c r="AG36" i="10"/>
  <c r="E19" i="16"/>
  <c r="F99" i="16" s="1"/>
  <c r="E25" i="16"/>
  <c r="C21" i="16"/>
  <c r="R81" i="1"/>
  <c r="Z5" i="14" s="1"/>
  <c r="B98" i="16"/>
  <c r="J77" i="16"/>
  <c r="J76" i="16" s="1"/>
  <c r="D14" i="16"/>
  <c r="G98" i="16" s="1"/>
  <c r="B97" i="16"/>
  <c r="I77" i="16"/>
  <c r="I76" i="16" s="1"/>
  <c r="C14" i="16"/>
  <c r="G97" i="16" s="1"/>
  <c r="L57" i="17"/>
  <c r="L58" i="17" s="1"/>
  <c r="L59" i="17" s="1"/>
  <c r="L60" i="17" s="1"/>
  <c r="L55" i="17" s="1"/>
  <c r="O55" i="17" s="1"/>
  <c r="P55" i="17" s="1"/>
  <c r="Q55" i="17" s="1"/>
  <c r="R55" i="17" s="1"/>
  <c r="S55" i="17" s="1"/>
  <c r="F133" i="16"/>
  <c r="G28" i="16"/>
  <c r="G18" i="16"/>
  <c r="E101" i="16" s="1"/>
  <c r="J54" i="17"/>
  <c r="J53" i="17" s="1"/>
  <c r="F136" i="16" s="1"/>
  <c r="F15" i="16"/>
  <c r="F128" i="16" s="1"/>
  <c r="F27" i="16"/>
  <c r="C136" i="16"/>
  <c r="C132" i="16" s="1"/>
  <c r="G91" i="17"/>
  <c r="F24" i="16"/>
  <c r="D136" i="16"/>
  <c r="D132" i="16" s="1"/>
  <c r="H94" i="17"/>
  <c r="D150" i="16" s="1"/>
  <c r="AF8" i="10"/>
  <c r="AF4" i="10" s="1"/>
  <c r="Q81" i="1"/>
  <c r="Y5" i="14" s="1"/>
  <c r="Q78" i="1"/>
  <c r="AH27" i="10"/>
  <c r="AH30" i="10"/>
  <c r="AH39" i="10"/>
  <c r="F39" i="16" s="1"/>
  <c r="AI19" i="10"/>
  <c r="AB40" i="10"/>
  <c r="AI40" i="10" s="1"/>
  <c r="AI28" i="10"/>
  <c r="G35" i="16" s="1"/>
  <c r="AB35" i="10"/>
  <c r="AI35" i="10" s="1"/>
  <c r="U25" i="1"/>
  <c r="AC5" i="10" s="1"/>
  <c r="AJ118" i="10"/>
  <c r="X86" i="10"/>
  <c r="AG8" i="10"/>
  <c r="T10" i="1"/>
  <c r="U11" i="1"/>
  <c r="AB27" i="10"/>
  <c r="AC28" i="10"/>
  <c r="L3" i="17" s="1"/>
  <c r="L2" i="17" s="1"/>
  <c r="AB39" i="10"/>
  <c r="AI39" i="10" s="1"/>
  <c r="AC33" i="10"/>
  <c r="AC29" i="10"/>
  <c r="AB18" i="10"/>
  <c r="AI18" i="10" s="1"/>
  <c r="G33" i="16" s="1"/>
  <c r="AC26" i="10"/>
  <c r="D114" i="16" l="1"/>
  <c r="N107" i="16" s="1"/>
  <c r="G39" i="16"/>
  <c r="AK118" i="10"/>
  <c r="H44" i="16"/>
  <c r="I44" i="16" s="1"/>
  <c r="AP118" i="10"/>
  <c r="AQ118" i="10" s="1"/>
  <c r="AR118" i="10" s="1"/>
  <c r="AS118" i="10" s="1"/>
  <c r="AT118" i="10" s="1"/>
  <c r="G23" i="16"/>
  <c r="G38" i="16"/>
  <c r="R107" i="16"/>
  <c r="O2" i="17"/>
  <c r="P19" i="17"/>
  <c r="P22" i="17" s="1"/>
  <c r="P16" i="17" s="1"/>
  <c r="Q18" i="17"/>
  <c r="G94" i="17"/>
  <c r="C150" i="16" s="1"/>
  <c r="C160" i="16"/>
  <c r="K106" i="17"/>
  <c r="G156" i="16" s="1"/>
  <c r="J91" i="17"/>
  <c r="F160" i="16" s="1"/>
  <c r="B149" i="16"/>
  <c r="U10" i="1"/>
  <c r="N58" i="16"/>
  <c r="P58" i="16" s="1"/>
  <c r="AB27" i="14"/>
  <c r="M60" i="16"/>
  <c r="AC44" i="1"/>
  <c r="AD44" i="1" s="1"/>
  <c r="H4" i="16"/>
  <c r="L87" i="17" s="1"/>
  <c r="K87" i="17"/>
  <c r="F132" i="16"/>
  <c r="G25" i="16"/>
  <c r="G19" i="16"/>
  <c r="F101" i="16" s="1"/>
  <c r="K54" i="17"/>
  <c r="K53" i="17" s="1"/>
  <c r="G15" i="16"/>
  <c r="G128" i="16" s="1"/>
  <c r="G27" i="16"/>
  <c r="AJ29" i="10"/>
  <c r="L7" i="17"/>
  <c r="L6" i="17" s="1"/>
  <c r="O6" i="17" s="1"/>
  <c r="P6" i="17" s="1"/>
  <c r="Q6" i="17" s="1"/>
  <c r="R6" i="17" s="1"/>
  <c r="S6" i="17" s="1"/>
  <c r="AH36" i="10"/>
  <c r="F25" i="16"/>
  <c r="F19" i="16"/>
  <c r="F100" i="16" s="1"/>
  <c r="R78" i="1"/>
  <c r="R75" i="1" s="1"/>
  <c r="Z4" i="14" s="1"/>
  <c r="G24" i="16"/>
  <c r="Y14" i="1"/>
  <c r="Y4" i="1" s="1"/>
  <c r="D3" i="16"/>
  <c r="AJ33" i="10"/>
  <c r="AC30" i="10"/>
  <c r="AI27" i="10"/>
  <c r="B99" i="16"/>
  <c r="K77" i="16"/>
  <c r="K76" i="16" s="1"/>
  <c r="AJ26" i="10"/>
  <c r="B100" i="16"/>
  <c r="L77" i="16"/>
  <c r="L76" i="16" s="1"/>
  <c r="G86" i="17"/>
  <c r="G85" i="17" s="1"/>
  <c r="C2" i="16"/>
  <c r="E136" i="16"/>
  <c r="E132" i="16" s="1"/>
  <c r="I91" i="17"/>
  <c r="Q75" i="1"/>
  <c r="Y4" i="14" s="1"/>
  <c r="AH9" i="10"/>
  <c r="AH8" i="10" s="1"/>
  <c r="AJ86" i="10"/>
  <c r="AK86" i="10"/>
  <c r="AI30" i="10"/>
  <c r="AJ28" i="10"/>
  <c r="H35" i="16" s="1"/>
  <c r="I35" i="16" s="1"/>
  <c r="AC40" i="10"/>
  <c r="AJ40" i="10" s="1"/>
  <c r="AC35" i="10"/>
  <c r="Y86" i="10"/>
  <c r="AI36" i="10"/>
  <c r="AC31" i="10"/>
  <c r="AC34" i="10"/>
  <c r="AJ34" i="10" s="1"/>
  <c r="AP34" i="10" s="1"/>
  <c r="AQ34" i="10" s="1"/>
  <c r="AR34" i="10" s="1"/>
  <c r="AS34" i="10" s="1"/>
  <c r="AT34" i="10" s="1"/>
  <c r="AC27" i="10"/>
  <c r="AC39" i="10"/>
  <c r="AJ39" i="10" s="1"/>
  <c r="H39" i="16" s="1"/>
  <c r="AC18" i="10"/>
  <c r="AJ18" i="10" s="1"/>
  <c r="I39" i="16" l="1"/>
  <c r="AP18" i="10"/>
  <c r="H33" i="16"/>
  <c r="AK40" i="10"/>
  <c r="AP40" i="10"/>
  <c r="AQ40" i="10" s="1"/>
  <c r="AR40" i="10" s="1"/>
  <c r="AS40" i="10" s="1"/>
  <c r="AT40" i="10" s="1"/>
  <c r="AK33" i="10"/>
  <c r="H37" i="16"/>
  <c r="I37" i="16" s="1"/>
  <c r="AP33" i="10"/>
  <c r="AQ33" i="10" s="1"/>
  <c r="AR33" i="10" s="1"/>
  <c r="AS33" i="10" s="1"/>
  <c r="AT33" i="10" s="1"/>
  <c r="H36" i="16"/>
  <c r="I36" i="16" s="1"/>
  <c r="AP29" i="10"/>
  <c r="AQ29" i="10" s="1"/>
  <c r="AR29" i="10" s="1"/>
  <c r="AS29" i="10" s="1"/>
  <c r="AT29" i="10" s="1"/>
  <c r="E108" i="16"/>
  <c r="G100" i="17" s="1"/>
  <c r="C155" i="16" s="1"/>
  <c r="C175" i="16"/>
  <c r="I4" i="16"/>
  <c r="H133" i="16"/>
  <c r="J94" i="17"/>
  <c r="F150" i="16" s="1"/>
  <c r="I94" i="17"/>
  <c r="E150" i="16" s="1"/>
  <c r="E160" i="16"/>
  <c r="L106" i="17"/>
  <c r="H156" i="16" s="1"/>
  <c r="Q19" i="17"/>
  <c r="Q22" i="17" s="1"/>
  <c r="Q16" i="17" s="1"/>
  <c r="R18" i="17"/>
  <c r="C120" i="16"/>
  <c r="C159" i="16"/>
  <c r="P2" i="17"/>
  <c r="O106" i="17"/>
  <c r="O109" i="17" s="1"/>
  <c r="I10" i="16"/>
  <c r="AC27" i="14"/>
  <c r="N60" i="16"/>
  <c r="G93" i="17"/>
  <c r="Z86" i="10"/>
  <c r="AA86" i="10" s="1"/>
  <c r="AB86" i="10" s="1"/>
  <c r="AC86" i="10" s="1"/>
  <c r="Y113" i="10"/>
  <c r="B101" i="16"/>
  <c r="M77" i="16"/>
  <c r="M76" i="16" s="1"/>
  <c r="H18" i="16"/>
  <c r="H28" i="16"/>
  <c r="I28" i="16" s="1"/>
  <c r="AK26" i="10"/>
  <c r="AK19" i="10" s="1"/>
  <c r="AK29" i="10"/>
  <c r="H24" i="16"/>
  <c r="I24" i="16" s="1"/>
  <c r="L54" i="17"/>
  <c r="L53" i="17" s="1"/>
  <c r="O53" i="17" s="1"/>
  <c r="P53" i="17" s="1"/>
  <c r="Q53" i="17" s="1"/>
  <c r="R53" i="17" s="1"/>
  <c r="S53" i="17" s="1"/>
  <c r="H27" i="16"/>
  <c r="I27" i="16" s="1"/>
  <c r="AJ19" i="10"/>
  <c r="H86" i="17"/>
  <c r="H85" i="17" s="1"/>
  <c r="D159" i="16" s="1"/>
  <c r="D2" i="16"/>
  <c r="G136" i="16"/>
  <c r="G132" i="16" s="1"/>
  <c r="K91" i="17"/>
  <c r="AK39" i="10"/>
  <c r="AK36" i="10" s="1"/>
  <c r="H25" i="16"/>
  <c r="I25" i="16" s="1"/>
  <c r="H19" i="16"/>
  <c r="F102" i="16" s="1"/>
  <c r="AJ35" i="10"/>
  <c r="S78" i="1"/>
  <c r="S81" i="1"/>
  <c r="AA5" i="14" s="1"/>
  <c r="AI9" i="10"/>
  <c r="AI8" i="10" s="1"/>
  <c r="AJ27" i="10"/>
  <c r="AK28" i="10"/>
  <c r="AK27" i="10" s="1"/>
  <c r="AJ36" i="10"/>
  <c r="Z124" i="10"/>
  <c r="AG126" i="10"/>
  <c r="E34" i="16" s="1"/>
  <c r="E114" i="16" l="1"/>
  <c r="N108" i="16" s="1"/>
  <c r="C124" i="16"/>
  <c r="E32" i="16"/>
  <c r="H23" i="16"/>
  <c r="I23" i="16" s="1"/>
  <c r="H38" i="16"/>
  <c r="I38" i="16" s="1"/>
  <c r="AP35" i="10"/>
  <c r="AQ35" i="10" s="1"/>
  <c r="AR35" i="10" s="1"/>
  <c r="AS35" i="10" s="1"/>
  <c r="AT35" i="10" s="1"/>
  <c r="I33" i="16"/>
  <c r="AQ18" i="10"/>
  <c r="R108" i="16"/>
  <c r="F108" i="16"/>
  <c r="H100" i="17" s="1"/>
  <c r="D155" i="16" s="1"/>
  <c r="D175" i="16"/>
  <c r="I156" i="16"/>
  <c r="R19" i="17"/>
  <c r="R22" i="17" s="1"/>
  <c r="R16" i="17" s="1"/>
  <c r="S18" i="17"/>
  <c r="S19" i="17" s="1"/>
  <c r="S22" i="17" s="1"/>
  <c r="S16" i="17" s="1"/>
  <c r="O91" i="17"/>
  <c r="K94" i="17"/>
  <c r="G150" i="16" s="1"/>
  <c r="G160" i="16"/>
  <c r="Q2" i="17"/>
  <c r="P91" i="17"/>
  <c r="P106" i="17"/>
  <c r="C149" i="16"/>
  <c r="Z113" i="10"/>
  <c r="AA113" i="10" s="1"/>
  <c r="AB113" i="10" s="1"/>
  <c r="AC113" i="10" s="1"/>
  <c r="H93" i="17"/>
  <c r="D149" i="16" s="1"/>
  <c r="D120" i="16"/>
  <c r="AK35" i="10"/>
  <c r="H15" i="16"/>
  <c r="E102" i="16"/>
  <c r="I18" i="16"/>
  <c r="H136" i="16"/>
  <c r="H132" i="16" s="1"/>
  <c r="L91" i="17"/>
  <c r="I19" i="16"/>
  <c r="E26" i="16"/>
  <c r="E16" i="16"/>
  <c r="AJ9" i="10"/>
  <c r="S75" i="1"/>
  <c r="AA4" i="14" s="1"/>
  <c r="T78" i="1"/>
  <c r="T81" i="1"/>
  <c r="AB5" i="14" s="1"/>
  <c r="AG122" i="10"/>
  <c r="AG66" i="10" s="1"/>
  <c r="AG4" i="10" s="1"/>
  <c r="AJ30" i="10"/>
  <c r="AK34" i="10"/>
  <c r="AK30" i="10" s="1"/>
  <c r="AK18" i="10"/>
  <c r="AK9" i="10" s="1"/>
  <c r="AK8" i="10" s="1"/>
  <c r="AA124" i="10"/>
  <c r="Z123" i="10"/>
  <c r="AP4" i="10" l="1"/>
  <c r="O101" i="17" s="1"/>
  <c r="F114" i="16"/>
  <c r="N109" i="16" s="1"/>
  <c r="D124" i="16"/>
  <c r="R109" i="16"/>
  <c r="O86" i="17"/>
  <c r="O85" i="17" s="1"/>
  <c r="O100" i="17"/>
  <c r="AR18" i="10"/>
  <c r="AQ4" i="10"/>
  <c r="P101" i="17" s="1"/>
  <c r="H160" i="16"/>
  <c r="L94" i="17"/>
  <c r="H150" i="16" s="1"/>
  <c r="R2" i="17"/>
  <c r="Q106" i="17"/>
  <c r="Q91" i="17"/>
  <c r="P109" i="17"/>
  <c r="J156" i="16"/>
  <c r="P94" i="17"/>
  <c r="J160" i="16"/>
  <c r="I160" i="16"/>
  <c r="O94" i="17"/>
  <c r="I15" i="16"/>
  <c r="H128" i="16"/>
  <c r="E21" i="16"/>
  <c r="B102" i="16"/>
  <c r="N77" i="16"/>
  <c r="N76" i="16" s="1"/>
  <c r="Z14" i="1"/>
  <c r="Z4" i="1" s="1"/>
  <c r="E3" i="16"/>
  <c r="C99" i="16"/>
  <c r="E14" i="16"/>
  <c r="G99" i="16" s="1"/>
  <c r="AJ8" i="10"/>
  <c r="T75" i="1"/>
  <c r="AB4" i="14" s="1"/>
  <c r="U78" i="1"/>
  <c r="U81" i="1"/>
  <c r="AC5" i="14" s="1"/>
  <c r="AH126" i="10"/>
  <c r="F34" i="16" s="1"/>
  <c r="AB124" i="10"/>
  <c r="AA123" i="10"/>
  <c r="F32" i="16" l="1"/>
  <c r="P86" i="17"/>
  <c r="P85" i="17" s="1"/>
  <c r="P100" i="17"/>
  <c r="AS18" i="10"/>
  <c r="AR4" i="10"/>
  <c r="Q101" i="17" s="1"/>
  <c r="I155" i="16"/>
  <c r="O108" i="17"/>
  <c r="O93" i="17"/>
  <c r="I159" i="16"/>
  <c r="B126" i="16"/>
  <c r="Q94" i="17"/>
  <c r="K160" i="16"/>
  <c r="S2" i="17"/>
  <c r="R106" i="17"/>
  <c r="R91" i="17"/>
  <c r="K156" i="16"/>
  <c r="Q109" i="17"/>
  <c r="I86" i="17"/>
  <c r="I85" i="17" s="1"/>
  <c r="E2" i="16"/>
  <c r="AH122" i="10"/>
  <c r="AH66" i="10" s="1"/>
  <c r="AH4" i="10" s="1"/>
  <c r="F26" i="16"/>
  <c r="F21" i="16" s="1"/>
  <c r="F16" i="16"/>
  <c r="U75" i="1"/>
  <c r="AC4" i="14" s="1"/>
  <c r="AB123" i="10"/>
  <c r="AI126" i="10"/>
  <c r="G34" i="16" s="1"/>
  <c r="G32" i="16" l="1"/>
  <c r="Q100" i="17"/>
  <c r="Q86" i="17"/>
  <c r="Q85" i="17" s="1"/>
  <c r="AT18" i="10"/>
  <c r="AT4" i="10" s="1"/>
  <c r="S101" i="17" s="1"/>
  <c r="AS4" i="10"/>
  <c r="R101" i="17" s="1"/>
  <c r="J155" i="16"/>
  <c r="P108" i="17"/>
  <c r="P93" i="17"/>
  <c r="J159" i="16"/>
  <c r="G108" i="16"/>
  <c r="I100" i="17" s="1"/>
  <c r="E155" i="16" s="1"/>
  <c r="E175" i="16"/>
  <c r="E120" i="16"/>
  <c r="E159" i="16"/>
  <c r="R109" i="17"/>
  <c r="L156" i="16"/>
  <c r="S91" i="17"/>
  <c r="S106" i="17"/>
  <c r="R94" i="17"/>
  <c r="L160" i="16"/>
  <c r="I93" i="17"/>
  <c r="AA14" i="1"/>
  <c r="AA4" i="1" s="1"/>
  <c r="F3" i="16"/>
  <c r="C100" i="16"/>
  <c r="F14" i="16"/>
  <c r="G100" i="16" s="1"/>
  <c r="AI122" i="10"/>
  <c r="AI66" i="10" s="1"/>
  <c r="AI4" i="10" s="1"/>
  <c r="G26" i="16"/>
  <c r="G21" i="16" s="1"/>
  <c r="G16" i="16"/>
  <c r="AC124" i="10"/>
  <c r="E124" i="16" l="1"/>
  <c r="R110" i="16"/>
  <c r="G114" i="16"/>
  <c r="N110" i="16" s="1"/>
  <c r="R100" i="17"/>
  <c r="R86" i="17"/>
  <c r="R85" i="17" s="1"/>
  <c r="S100" i="17"/>
  <c r="S86" i="17"/>
  <c r="S85" i="17" s="1"/>
  <c r="Q93" i="17"/>
  <c r="K159" i="16"/>
  <c r="K155" i="16"/>
  <c r="Q108" i="17"/>
  <c r="S109" i="17"/>
  <c r="M156" i="16"/>
  <c r="M160" i="16"/>
  <c r="S94" i="17"/>
  <c r="E149" i="16"/>
  <c r="AB14" i="1"/>
  <c r="AB4" i="1" s="1"/>
  <c r="G3" i="16"/>
  <c r="J86" i="17"/>
  <c r="J85" i="17" s="1"/>
  <c r="F2" i="16"/>
  <c r="C101" i="16"/>
  <c r="G14" i="16"/>
  <c r="G101" i="16" s="1"/>
  <c r="AC123" i="10"/>
  <c r="AJ126" i="10"/>
  <c r="H34" i="16" s="1"/>
  <c r="H32" i="16" l="1"/>
  <c r="I34" i="16"/>
  <c r="I32" i="16" s="1"/>
  <c r="M159" i="16"/>
  <c r="S93" i="17"/>
  <c r="S108" i="17"/>
  <c r="M155" i="16"/>
  <c r="L159" i="16"/>
  <c r="R93" i="17"/>
  <c r="R108" i="17"/>
  <c r="L155" i="16"/>
  <c r="H108" i="16"/>
  <c r="J100" i="17" s="1"/>
  <c r="F155" i="16" s="1"/>
  <c r="F175" i="16"/>
  <c r="F120" i="16"/>
  <c r="F159" i="16"/>
  <c r="J93" i="17"/>
  <c r="H16" i="16"/>
  <c r="H26" i="16"/>
  <c r="K86" i="17"/>
  <c r="K85" i="17" s="1"/>
  <c r="G159" i="16" s="1"/>
  <c r="G2" i="16"/>
  <c r="AJ122" i="10"/>
  <c r="AJ66" i="10" s="1"/>
  <c r="AJ4" i="10" s="1"/>
  <c r="AK126" i="10"/>
  <c r="AK122" i="10" s="1"/>
  <c r="AK66" i="10" s="1"/>
  <c r="AK4" i="10" s="1"/>
  <c r="H114" i="16" l="1"/>
  <c r="N111" i="16" s="1"/>
  <c r="F124" i="16"/>
  <c r="R111" i="16"/>
  <c r="I108" i="16"/>
  <c r="K100" i="17" s="1"/>
  <c r="G155" i="16" s="1"/>
  <c r="G175" i="16"/>
  <c r="F149" i="16"/>
  <c r="K93" i="17"/>
  <c r="G149" i="16" s="1"/>
  <c r="G120" i="16"/>
  <c r="AC14" i="1"/>
  <c r="AC4" i="1" s="1"/>
  <c r="H3" i="16"/>
  <c r="I9" i="16" s="1"/>
  <c r="H21" i="16"/>
  <c r="I26" i="16"/>
  <c r="I21" i="16" s="1"/>
  <c r="C102" i="16"/>
  <c r="H14" i="16"/>
  <c r="G102" i="16" s="1"/>
  <c r="I16" i="16"/>
  <c r="AK48" i="11"/>
  <c r="AK41" i="11" s="1"/>
  <c r="AK43" i="12"/>
  <c r="AK42" i="12" s="1"/>
  <c r="AK4" i="12" s="1"/>
  <c r="AK25" i="11"/>
  <c r="AK7" i="11" s="1"/>
  <c r="AK4" i="11" l="1"/>
  <c r="I114" i="16"/>
  <c r="N112" i="16" s="1"/>
  <c r="R112" i="16"/>
  <c r="G124" i="16"/>
  <c r="I14" i="16"/>
  <c r="J16" i="16" s="1"/>
  <c r="AD14" i="1"/>
  <c r="L86" i="17"/>
  <c r="L85" i="17" s="1"/>
  <c r="H159" i="16" s="1"/>
  <c r="H2" i="16"/>
  <c r="H175" i="16" s="1"/>
  <c r="J175" i="16" s="1"/>
  <c r="I3" i="16"/>
  <c r="AD4" i="1"/>
  <c r="AB38" i="14" s="1"/>
  <c r="Z38" i="14" l="1"/>
  <c r="AA38" i="14"/>
  <c r="AC38" i="14"/>
  <c r="J17" i="16"/>
  <c r="J19" i="16"/>
  <c r="J18" i="16"/>
  <c r="J15" i="16"/>
  <c r="H120" i="16"/>
  <c r="L93" i="17"/>
  <c r="B118" i="16"/>
  <c r="I2" i="16"/>
  <c r="J108" i="16"/>
  <c r="L100" i="17" s="1"/>
  <c r="H155" i="16" s="1"/>
  <c r="J9" i="16"/>
  <c r="J12" i="16"/>
  <c r="J13" i="16"/>
  <c r="J11" i="16"/>
  <c r="J10" i="16"/>
  <c r="W38" i="14"/>
  <c r="Y38" i="14"/>
  <c r="X38" i="14"/>
  <c r="F95" i="17" l="1"/>
  <c r="B148" i="16" s="1"/>
  <c r="S110" i="17"/>
  <c r="H149" i="16"/>
  <c r="B122" i="16"/>
  <c r="H124" i="16"/>
  <c r="R113" i="16"/>
  <c r="J114" i="16"/>
  <c r="N113" i="16" s="1"/>
  <c r="F97" i="17" l="1"/>
</calcChain>
</file>

<file path=xl/sharedStrings.xml><?xml version="1.0" encoding="utf-8"?>
<sst xmlns="http://schemas.openxmlformats.org/spreadsheetml/2006/main" count="2542" uniqueCount="1195">
  <si>
    <t>V</t>
  </si>
  <si>
    <t>StG 1</t>
  </si>
  <si>
    <t>StG 2</t>
  </si>
  <si>
    <t>StG 3</t>
  </si>
  <si>
    <t>StG 4</t>
  </si>
  <si>
    <t>i1</t>
  </si>
  <si>
    <t>i2</t>
  </si>
  <si>
    <t>i3</t>
  </si>
  <si>
    <t>SpG 1.1</t>
  </si>
  <si>
    <t>P 1.1.1</t>
  </si>
  <si>
    <t>P 1.1.2</t>
  </si>
  <si>
    <t>P 1.1.3</t>
  </si>
  <si>
    <t>M 1.1.1.1</t>
  </si>
  <si>
    <t>M 1.1.1.2</t>
  </si>
  <si>
    <t>M 1.1.2.1</t>
  </si>
  <si>
    <t>M 1.1.2.2</t>
  </si>
  <si>
    <t>M 1.1.3.1</t>
  </si>
  <si>
    <t>M 1.1.3.2</t>
  </si>
  <si>
    <t>SpG 1.2</t>
  </si>
  <si>
    <t>P 1.2.1</t>
  </si>
  <si>
    <t>P 1.2.2</t>
  </si>
  <si>
    <t>P 1.2.3</t>
  </si>
  <si>
    <t>P 1.2.4</t>
  </si>
  <si>
    <t>M 1.2.1.1</t>
  </si>
  <si>
    <t>M 1.2.1.2</t>
  </si>
  <si>
    <t>M 1.2.2.1</t>
  </si>
  <si>
    <t>M 1.2.2.2</t>
  </si>
  <si>
    <t>M 1.2.3.1</t>
  </si>
  <si>
    <t>M 1.2.3.2</t>
  </si>
  <si>
    <t>M 1.2.4.1</t>
  </si>
  <si>
    <t>M 1.2.4.2</t>
  </si>
  <si>
    <t>M 1.1.1.3</t>
  </si>
  <si>
    <t>M 1.1.1.4</t>
  </si>
  <si>
    <t>M 1.1.1.5</t>
  </si>
  <si>
    <t>M 1.2.1.3</t>
  </si>
  <si>
    <t>M 1.2.1.4</t>
  </si>
  <si>
    <t>M 1.2.1.5</t>
  </si>
  <si>
    <t>M 1.2.2.3</t>
  </si>
  <si>
    <t>M 1.2.3.3</t>
  </si>
  <si>
    <t>M 1.2.4.3</t>
  </si>
  <si>
    <t>Ռազմավարական մակարդակի դասակարգիչ</t>
  </si>
  <si>
    <t>Մշտադիտարկման ցուցանիշի դասակարգիչ</t>
  </si>
  <si>
    <t>Մշտադիտարկման ցուցանիշ</t>
  </si>
  <si>
    <t>Մշտադիտարկման ցուցանիշի նկարագրություն</t>
  </si>
  <si>
    <t>Մշտադիտարկման ցուցանիշի ելակետային տվյալներ</t>
  </si>
  <si>
    <t>18-29 տարեկան չսովորող, չաշխատող երիտասարդների զբաղվածության աճ՝ հմտությունների շարունակական զարգացման, դրանց իրացման հնարավորությունների ընդլայնման և արտադրողականության բարձրացման միջոցով</t>
  </si>
  <si>
    <t>Կանանց զբաղվածության աճ՝  աշխատաշուկայում նրանց ներուժի ամբողջական և երկարաժամկետ իրացման, ինչպես նաև կանանց ձեռներեցության զարգացման նպատակով, մասնավորապես խթանելով միջին տարիքի (30-40) կանանց զբաղվածությունը</t>
  </si>
  <si>
    <t>StG 5</t>
  </si>
  <si>
    <t>Աշխատուժի զարգացում և նրա հասանելիության ապահովում մարզային քաղաքները ներառող համայնքներում ոչ գյուղատնտեսական բարձր արտադրողական ոլորտների համար</t>
  </si>
  <si>
    <t>Ոչ ֆորմալ ուսուցում իրականացնող մասնագիտական կրթական հաստատությունների զարգացում</t>
  </si>
  <si>
    <t>Ինտերակտիվ մասնագիտական վերապատրաստման հարթակի դասընթացների համակարգի` որպես այլընտրանքային ճկուն մոդելի զարգացում</t>
  </si>
  <si>
    <t>Քաղաքային և գյուղական բնակավայրերի միջև ճանապարհների և ավտոբուսային հաղորդակցության զարգացում</t>
  </si>
  <si>
    <t xml:space="preserve">Ճանապարհային ենթակառուցվածքների զարգացման սուբվենցիոն ծրագրերի առաջնահերթության սահմանում արդյունաբերական գոտիներ ունեցող քաղաքները ներառող համայնքների համար: Նշված համայնքների քաղաքային և գյուղական բնակավայրերում պետության կողմից ներկայումս տրվող սուբվենցիոն ծրագրի ֆինանսավորման համամասնությունը ավելացվելու է 10 տոկոսային կետով </t>
  </si>
  <si>
    <t>M 1.1.2.3</t>
  </si>
  <si>
    <t>Մարզային քաղաքները ներառող համայնքներում բարձր որակավորում ունեցող մասնագետների ներգրավման ծրագիր</t>
  </si>
  <si>
    <t>ՀՀ Էկոնոմիկայի նախարարության կողմից իրականացվող "Բարձրակարգ մասնագետների ներգրավման" ծրագրի շրջանակներում մշակված փոխհատուցման սանդղակի յուրաքանչյուր կետի դեպքում լրացուցիչ 10 տոկոսային կետով խթանի տրամադրում՝ արդյունաբերական գոտիներում միջազգային բարձրակարգ մասնագետների ներգրավման դեպքում</t>
  </si>
  <si>
    <t>P 1.1.4</t>
  </si>
  <si>
    <t>M 1.1.4.1</t>
  </si>
  <si>
    <t>M 1.1.4.2</t>
  </si>
  <si>
    <t>M 1.1.4.3</t>
  </si>
  <si>
    <t>P 1.1.5</t>
  </si>
  <si>
    <t>M 1.1.5.1</t>
  </si>
  <si>
    <t>M 1.1.5.2</t>
  </si>
  <si>
    <t>M 1.1.5.3</t>
  </si>
  <si>
    <t>Մարզային քաղաքները ներառող համայնքներում ոչ գյուղատնտեսական բարձր արտադրողական ոլորտներում աշխատատեղերի ստեղծման խթանների զարգացման</t>
  </si>
  <si>
    <t>Պետության կողմից ստեղծված արդյունաբերական գոտիների տարածքի վերանորոգման և վերազինման կապիտալ ծախսերի ֆինանսավորում</t>
  </si>
  <si>
    <t>Ֆինանսական միջոցների հասանելիության ապահովում մարզային քաղաքները ներառող համայնքներում ոչ գյուղատնտեսական բարձր արտադրողական ոլորտների համար</t>
  </si>
  <si>
    <t>Հասանելի խորհրդատվական ծառայությունների կազմակերպում՝ բիզնեսին 1.2.2 և 1.2.4 կետերում նշված պետական ​​ֆինանսական աջակցության ծրագրերին մասնակցելու ընթացքում աջակցելու նպատակով</t>
  </si>
  <si>
    <t>1.i1</t>
  </si>
  <si>
    <t>1.i2</t>
  </si>
  <si>
    <t>1.i3</t>
  </si>
  <si>
    <t>2.i1</t>
  </si>
  <si>
    <t>3.i1</t>
  </si>
  <si>
    <t>4.i1</t>
  </si>
  <si>
    <t>5.i1</t>
  </si>
  <si>
    <t>2.i2</t>
  </si>
  <si>
    <t>3.i3</t>
  </si>
  <si>
    <t>5.i2</t>
  </si>
  <si>
    <t>1.1.1.1.i1</t>
  </si>
  <si>
    <t>1.1.1.2.i1</t>
  </si>
  <si>
    <t>1.1.1.i1</t>
  </si>
  <si>
    <t>1.1.1.3.i1</t>
  </si>
  <si>
    <t>1.1.1.4.i1</t>
  </si>
  <si>
    <t>1.1.1.5.i1</t>
  </si>
  <si>
    <t>1.1.2.i1</t>
  </si>
  <si>
    <t>1.1.2.1.i1</t>
  </si>
  <si>
    <t>1.1.2.2.i1</t>
  </si>
  <si>
    <t>1.1.2.3.i1</t>
  </si>
  <si>
    <t>1.1.3.i1</t>
  </si>
  <si>
    <t>1.1.3.1.i1</t>
  </si>
  <si>
    <t>1.1.3.2.i1</t>
  </si>
  <si>
    <t>1.1.4.i1</t>
  </si>
  <si>
    <t>1.1.4.1.i1</t>
  </si>
  <si>
    <t>1.1.4.2.i1</t>
  </si>
  <si>
    <t>1.1.4.3.i1</t>
  </si>
  <si>
    <t>1.1.5.i1</t>
  </si>
  <si>
    <t>1.1.5.1.i1</t>
  </si>
  <si>
    <t>1.1.5.2.i1</t>
  </si>
  <si>
    <t>1.1.5.3.i1</t>
  </si>
  <si>
    <t>1.2.1.i1</t>
  </si>
  <si>
    <t>1.2.1.1.i1</t>
  </si>
  <si>
    <t>1.2.1.2.i1</t>
  </si>
  <si>
    <t>1.2.1.3.i1</t>
  </si>
  <si>
    <t>1.2.1.4.i1</t>
  </si>
  <si>
    <t>1.2.1.5.i1</t>
  </si>
  <si>
    <t>1.2.2.i1</t>
  </si>
  <si>
    <t>1.2.2.1.i1</t>
  </si>
  <si>
    <t>1.2.2.2.i1</t>
  </si>
  <si>
    <t>1.2.2.3.i1</t>
  </si>
  <si>
    <t>1.2.3.i1</t>
  </si>
  <si>
    <t>1.2.3.1.i1</t>
  </si>
  <si>
    <t>1.2.3.2.i1</t>
  </si>
  <si>
    <t>1.2.3.3.i1</t>
  </si>
  <si>
    <t>1.2.4.i1</t>
  </si>
  <si>
    <t>1.2.4.1.i1</t>
  </si>
  <si>
    <t>1.2.4.2.i1</t>
  </si>
  <si>
    <t>1.2.4.3.i1</t>
  </si>
  <si>
    <t xml:space="preserve">Զբաղվածության մակարդակը մարզային քաղաքները ներառող համայնքներում </t>
  </si>
  <si>
    <t>Ոչ գյուղատնտեսական զբաղվածության մասնաբաժինը մարզային քաղաքները ներառող համայնքներում</t>
  </si>
  <si>
    <t>Մարզային քաղաքները ներառող համայնքներում թերօգտագործվող և զբաղված աշխատուժի հարաբերակցությունը</t>
  </si>
  <si>
    <t>Արդյունաբերական գոտիներում գտնվող ընկերություններ տեղափոխված ավելի քան 500 հազար ՀՀ դրամ վարձատրություն ստացող մասնագետների թվաքանակը</t>
  </si>
  <si>
    <t>Ֆինանսական և թվային գրագիտության առցանց դասընթացը ավարտողների թվաքանակը</t>
  </si>
  <si>
    <t>WorldSkills հարթակի հայկական նույնատիպի մասնակիցների թվաքանակը</t>
  </si>
  <si>
    <t>Ծրագրի շահառուների թվաքանակը</t>
  </si>
  <si>
    <t>Նորակառույց բնակելի տարածքների ծավալը մարզային քաղաքները ներառող համայնքներում</t>
  </si>
  <si>
    <t>1.1.5.3.i2</t>
  </si>
  <si>
    <t>Օրենսդրական փոփոխությունների առկայություն</t>
  </si>
  <si>
    <t>1.2.2.1.i2</t>
  </si>
  <si>
    <t>Սույն ծրագրով հաստատված լիզինգային պայմանագրերի ընդհանուր ծավալը</t>
  </si>
  <si>
    <t>Սույն ծրագրով հաստատված լիզինգային պայմանագրերի թվաքանակը</t>
  </si>
  <si>
    <t>1.2.2.2.i2</t>
  </si>
  <si>
    <t>Սույն ծրագրով հաստատված վարկային պայմանագրերի թվաքանակը</t>
  </si>
  <si>
    <t>Սույն ծրագրով հաստատված վարկային պայմանագրերի ընդհանուր ծավալը</t>
  </si>
  <si>
    <t>1.2.2.1.i3</t>
  </si>
  <si>
    <t>Սույն ծրագրով հաստատված լիզինգային պայմանագրերի միջին ծավալը մեկ ընկերության համար</t>
  </si>
  <si>
    <t>1.2.2.2.i3</t>
  </si>
  <si>
    <t>Սույն ծրագրով հաստատված վարկային պայմանագրերի միջին ծավալը մեկ ընկերության համար</t>
  </si>
  <si>
    <t>1.2.2.3.i2</t>
  </si>
  <si>
    <t>Խորհրդատվական աջակցություն ստացած ընկերությունների թվաքանակը</t>
  </si>
  <si>
    <t>"Արդյունաբերական գոտու շահագործողի" սերտիֆիկատ ստացած ընկերությունների ընդհանուր աշխատողների թվաքանակը</t>
  </si>
  <si>
    <t>1.2.3.3.i2</t>
  </si>
  <si>
    <t>1.2.3.3.i3</t>
  </si>
  <si>
    <t>1.2.3.3.i4</t>
  </si>
  <si>
    <t>Արդյունաբերության ոլորտում զբաղվածության մասնաբաժինը մարզային քաղաքները ներառող համայնքների ընդհանուր զբաղվածության մեջ</t>
  </si>
  <si>
    <t>i4</t>
  </si>
  <si>
    <t>Արդյունաբերական արտադրանքի մասնաբաժինը ՀՆԱ-ում</t>
  </si>
  <si>
    <t>1.2.4.1.i2</t>
  </si>
  <si>
    <t>1.2.4.1.i3</t>
  </si>
  <si>
    <t>1.2.4.2.i2</t>
  </si>
  <si>
    <t>1.2.4.2.i3</t>
  </si>
  <si>
    <t>Աքսելերացիոն ծրագրի մասնակիցների թվաքանակը</t>
  </si>
  <si>
    <t>1.1.2.i2</t>
  </si>
  <si>
    <t>1.1.2.1.i2</t>
  </si>
  <si>
    <t>1.1.4.i2</t>
  </si>
  <si>
    <t>Կառավարության կողմից հաստատված ծրագրի առկայություն համապատասխան ֆինանսական հատկացումներով</t>
  </si>
  <si>
    <t>1.1.1.4.i2</t>
  </si>
  <si>
    <t>3.i2</t>
  </si>
  <si>
    <t>4.i2</t>
  </si>
  <si>
    <t>1.1.1.4.i3</t>
  </si>
  <si>
    <t>Մասնավոր արդյունաբերական գոտիների ստեղծման կապիտալ ծախսերի 50% փոխհատուցում</t>
  </si>
  <si>
    <t>Գործողություն</t>
  </si>
  <si>
    <t>1.1.4.i3</t>
  </si>
  <si>
    <t>Ծրագրի ավարտից երկու տարվա ընթացքում ծրագրի մասնակիցների աշխատավարձերի աճի և երկրում աշխատավարձի միջին աճի հարաբերակցությունը</t>
  </si>
  <si>
    <t>3.i4</t>
  </si>
  <si>
    <t>1.i4</t>
  </si>
  <si>
    <t>Միջին եկամտի մակարդակը ոչ գյուղատնտեսական ոլորտներում</t>
  </si>
  <si>
    <t>2.i3</t>
  </si>
  <si>
    <t>4.i3</t>
  </si>
  <si>
    <t>Զբաղվածներ - ք. Երևան, 1000 մարդ, 15-74</t>
  </si>
  <si>
    <t>Զբաղվածներ - ք. Երևան - գյուղատնտեսություն, 1000 մարդ, 15-74</t>
  </si>
  <si>
    <t>Զբաղվածներ - մարզային քաղաք - գյուղատնտեսություն, 1000 մարդ, 15-74</t>
  </si>
  <si>
    <t>Զբաղվածներ - գյուղ - գյուղատնտեսություն, 1000 մարդ, 15-74</t>
  </si>
  <si>
    <t>Զբաղվածներ - ք. Երևան - ոչ գյուղատնտեսություն, 1000 մարդ, 15-74</t>
  </si>
  <si>
    <t>Զբաղվածներ - մարզային քաղաք - ոչ գյուղատնտեսություն, 1000 մարդ, 15-74</t>
  </si>
  <si>
    <t>Զբաղվածներ - գյուղ - ոչ գյուղատնտեսություն, 1000 մարդ, 15-74</t>
  </si>
  <si>
    <t>Զբաղվածներ - մ․ք․ն․հ․ - ոչ գյուղատնտեսություն, 1000 մարդ, 15-74</t>
  </si>
  <si>
    <t>Աշխատանքի թերօգտագործում - ք․ Երևան, 1000 մարդ, 15-74</t>
  </si>
  <si>
    <t>Աշխատանքի թերօգտագործում - մարզային քաղաք, 1000 մարդ, 15-74</t>
  </si>
  <si>
    <t>Աշխատանքի թերօգտագործում - գյուղ, 1000 մարդ, 15-74</t>
  </si>
  <si>
    <t>Աշխատանքի թերօգտագործում - մ․ք․ն․հ․, 1000 մարդ, 15-74</t>
  </si>
  <si>
    <t>ՀՀ մարզերում արդյունաբերական արտադրանքի թողարկման մասնաբաժինը ընդհանուր թողարկման մեջ</t>
  </si>
  <si>
    <t>Աշխատանքի շուկան Հայաստանում, Արմստատ</t>
  </si>
  <si>
    <t>Հայաստանի սոցիալական պատկերը և աղքատությունը, Արմստատ</t>
  </si>
  <si>
    <t>Համաշխարհային զարգացման ցուցանիշներ, Համաշխարհային բանկ</t>
  </si>
  <si>
    <t>Հաշվարկ</t>
  </si>
  <si>
    <t>Արմստատբանկ, Արմստատ</t>
  </si>
  <si>
    <t>Հայաստանի ֆինանսների վիճակագրություն, Արմստատ</t>
  </si>
  <si>
    <t>ՀՀ սոցիալ-տնտեսական վիճակը [տարեթիվ] հունվարին, Արմստատ</t>
  </si>
  <si>
    <t xml:space="preserve">Մեկ ընտանիքի ամսական նպաստի միջին չափը, դրամ </t>
  </si>
  <si>
    <t xml:space="preserve">    -- աճի տեմպ</t>
  </si>
  <si>
    <t>Զբաղվածներ, ընդամենը, 1000 մարդ, 15-74</t>
  </si>
  <si>
    <t>Հղում</t>
  </si>
  <si>
    <t>Ազգային հաշիվների տվյալների բազա, Արմստատ</t>
  </si>
  <si>
    <t>Չսովորող և չաշխատող երիտասարդներ - 20-24, 1000 մարդ</t>
  </si>
  <si>
    <t>Չսովորող և չաշխատող երիտասարդներ -  25-29, 1000 մարդ</t>
  </si>
  <si>
    <t>Զբաղվածներ - ըստ տարիքային խմբերի, 20-24, 1000 մարդ</t>
  </si>
  <si>
    <t>Զբաղվածներ - ըստ տարիքային խմբերի, 25-29, 1000 մարդ</t>
  </si>
  <si>
    <t>Զբաղվածներ - կին - 30-34, 1000 մարդ</t>
  </si>
  <si>
    <t>Զբաղվածներ - կին - 35-39, 1000 մարդ</t>
  </si>
  <si>
    <t>Աշխատանքի թերօգտագործում - կին - 30-34, 1000 մարդ</t>
  </si>
  <si>
    <t>Աշխատանքի թերօգտագործում - կին - 35-39, 1000 մարդ</t>
  </si>
  <si>
    <t>Ընտանիքի կենսամակարդակի բարձրացմանն ուղղված նպաստներ, մլրդ․ դրամ</t>
  </si>
  <si>
    <t>Եկամտային հարկ, մլրդ․ դրամ</t>
  </si>
  <si>
    <t>Կ/Չ</t>
  </si>
  <si>
    <t>Հայաստանի Հանրապետության մարզերը և Երևան քաղաքը թվերով, Արմստատ</t>
  </si>
  <si>
    <t>Առկա չէ</t>
  </si>
  <si>
    <t>Աշխատուժի հետազոտության միկրոտվյալների բազա, Արմստատ</t>
  </si>
  <si>
    <t>Հաշվետվություն ՀՀ պետական բյուջեի ելքային ծրագրերի և միջոցառումների գծով արդյունքային (կատարողական) ցուցանիշների կատարման վերաբերյալ` ըստ բյուջետային հատկացումների գլխավոր կարգադրիչների։ Ընտանիքների անապահովության գնահատման համակարգում հաշվառված, անապահով ճանաչված ընտանիքներին նպաստի, սոցիալական նպաստի և հրատապ օգնության տրամադրում։</t>
  </si>
  <si>
    <t>Գյուղական բնակավայրերի մասնաբաժինը, որոնք մերձակա քաղաքային բնակավայրի հետ ունեն կանոնավոր տրանսպորտային հաղորդակցություն</t>
  </si>
  <si>
    <t>ՀՀ սոցիալ-տնտեսական վիճակը [տարեթիվ] հունվար-դեկտեմբերին, Արմստատ</t>
  </si>
  <si>
    <t>ԿՏԱԿ</t>
  </si>
  <si>
    <t>Ժողովրդագրական տվյալների բազա, Արմստատ</t>
  </si>
  <si>
    <t>Մարզային քաղաքներ ներառող համայնքներում զբաղվածության մակարդակ, %</t>
  </si>
  <si>
    <t xml:space="preserve">Մարզային քաղաքներ ներառող համայնքներում աշխատանքի թերօգտագործման և զբաղվածների թվաքանակի հարաբերություն, % </t>
  </si>
  <si>
    <t>ՀՀ զբաղվածության մակարդակ, %</t>
  </si>
  <si>
    <t>ՀՀ աշխատանքային ռեսուրսների կառուցվածքում աշխատանքի թերօգտագործման մասնաբաժին, %</t>
  </si>
  <si>
    <t>ՀՀ աղքատության մակարդակ, %</t>
  </si>
  <si>
    <t>Մարզային քաղաքներ ներառող համայնքներում ոչ գյուղատնտեսական զբաղվածության մասնաբաժին, %</t>
  </si>
  <si>
    <t>ՀՀ 20-29 տարեկան բնակչության կազմում չսովորող, չաշխատող երիտասարդների մասնաբաժին, %</t>
  </si>
  <si>
    <t>ՀՀ 25-29 տարեկան բնակչության զբաղվածության մակարդակ, %</t>
  </si>
  <si>
    <t>ՀՀ կին բնակչության զբաղվածության մակարդակ, %</t>
  </si>
  <si>
    <t>ՀՀ 30-39 տարեկան կին բնակչության աշխատանքի թերօգտագործման և զբաղվածների թվաքանակի հարաբերություն, %</t>
  </si>
  <si>
    <t>ՀՀ պետական բյուջեի` ընտանեկան և սոցիալական նպաստների գծով ծախսերի և եկամտային հարկի գծով եկամուտների հարաբերություն, %</t>
  </si>
  <si>
    <t>ՀՀ պետական բյուջեի՝ զբաղվածության ​​ծախսերի և ՀՀ-ում զբաղվածների թվաքանակի աճի տեմպերի հարաբերություն</t>
  </si>
  <si>
    <t>ՀՀ պետական բյուջեի՝ զբաղվածության ծախսերի և եկամտային հարկի գծով եկամուտների հարաբերություն, %</t>
  </si>
  <si>
    <t>Հայաստան - մեկ զբաղվածի հաշվով ՀՆԱ (համարժեք գնողունակության 2017թ-ի հաստատուն գներ)</t>
  </si>
  <si>
    <t>Բարձր միջին եկամուտ ունեցող երկրների համեմատ ՀՀ աշխատանքի արտադրողականության մակարդակ, %</t>
  </si>
  <si>
    <t>Բարձր միջին եկամուտ ունեցող երկրներ - մեկ զբաղվածի հաշվով ՀՆԱ (համարժեք գնողունակության 2017թ-ի հաստատուն գներ)</t>
  </si>
  <si>
    <t>Զբաղվածներ - մարզային քաղաք, 1000 մարդ, 15-74 տարեկան</t>
  </si>
  <si>
    <t>Զբաղվածներ - գյուղ, 1000 մարդ, 15-74 տարեկան</t>
  </si>
  <si>
    <t>Զբաղվածներ - մ․ք․ն․հ․, 1000 մարդ, 15-74 տարեկան</t>
  </si>
  <si>
    <t>Աշխատանքային ռեսուրսներ - ք. Երևան, 1000 մարդ, 15-74 տարեկան</t>
  </si>
  <si>
    <t>Աշխատանքային ռեսուրսներ - մարզային քաղաք, 1000 մարդ, 15-74 տարեկան</t>
  </si>
  <si>
    <t>Աշխատանքային ռեսուրսներ - գյուղ, 1000 մարդ, 15-74 տարեկան</t>
  </si>
  <si>
    <t>Աշխատանքային ռեսուրսներ - մ․ք․ն․հ․, 1000 մարդ, 15-74 տարեկան</t>
  </si>
  <si>
    <t>Պետական բյուջեի հաշվետվություն, ՀՀ ֆինանսների նախարարություն</t>
  </si>
  <si>
    <t>Պետական բյուջեի հաշվետվություն, ՀՀ ֆինանսների նախարարություն, ՀՀ սոցիալ-տնտեսական վիճակը, Արմստատ</t>
  </si>
  <si>
    <t>Պետական բյուջեի հաշվետվություն, ՀՀ ֆինանսների նախարարություն, Արմստատբանկ, Արմստատ</t>
  </si>
  <si>
    <t>Մշտադիտարկման ցուցանիշի աղբյուր</t>
  </si>
  <si>
    <t>ՀՀ-ում մեկ զբաղվածի հաշվով ՀՆԱ-ի հարաբերությունը բարձր միջին եկամուտ ունեցող երկրներում միևնույն ցուցանիշի մեծությանը (հաշվարկված՝ համարժեք գնողունակության 2017թ-ի հաստատուն գներով)</t>
  </si>
  <si>
    <t>Զբաղվածների մասնաբաժինը նույն սեռատարիքային խմբի աշխատանքային ռեսուրսների նկատմամբ (ՀՀ կին բնակչություն, 15-74 տարեկան)</t>
  </si>
  <si>
    <t>Աշխատանքի թերօգտագործման ագրեգացված ցուցանիշի հարաբերությունը նույն սեռատարիքային խմբի զբաղվածների թվաքանակին (ՀՀ կին բնակչություն, 30-39 տարեկան)</t>
  </si>
  <si>
    <t>ՀՀ-ում տղամարդ և կին զբաղվածների եկամուտների տարբերություն, %</t>
  </si>
  <si>
    <t>Տնային տնտեսությունների մասնաբաժինը, որոնց՝ մեկ չափահաս անձի հաշվով  սպառումը ցածր է աղքատության գծից (ՀՀ, ընդամենը)</t>
  </si>
  <si>
    <t>ՀՀ պետական բյուջեի` ընտանիքի կենսամակարդակի բարձրացմանն ուղղված նպաստների գծով ծախսերի հարաբերությունը եկամտային հարկի գծով եկամուտների մեծությանը (փաստացի, ընթացիկ գներով)</t>
  </si>
  <si>
    <t>ՀՀ պետական բյուջեի՝ զբաղվածության ծրագրի գծով ծախսերի և եկամտային հարկի գծով եկամուտների հարաբերությունը (փաստացի, ընթացիկ գներով)</t>
  </si>
  <si>
    <t>Շահագործման հանձնված բնակելի շենքերի ընդհանուր մակերեսը, քառ․ մ - ընդամենը ՀՀ</t>
  </si>
  <si>
    <t>Շահագործման հանձնված բնակելի շենքերի ընդհանուր մակերեսը, քառ․ մ - ք․ Երևան</t>
  </si>
  <si>
    <t>Տարվա ընթացքում վերապատրաստման դասընթացներ ավարտածների թվաքանակի հարաբերությունը աշխատանքի թերօգտագործման ագրեգացված ցուցանիշին (մարզային քաղաքներ ներառող համայնքներ)</t>
  </si>
  <si>
    <t>Արդյունաբերական գոտիների մասնագիտացմանը համապատասխանող կրթական ծրագրերի թվաքանակի հարաբերությունը համապատասխան համայնքների բոլոր մասնագիտական կրթական ծրագրերի թվաքանակին (արդյունաբերական գոտիներ ունեցող մարզային համայնքներ)</t>
  </si>
  <si>
    <t>Արդյունաբերական գոտիների մասնագիտացմանը համապատասխանող կրթական ծրագրերի մասնաբաժին, %</t>
  </si>
  <si>
    <t>Արդիական ուսումնական ենթակառույցներ ունեցող ոչ ֆորմալ ուսուցում իրականացնող մասնագիտական կրթական հաստատությունների թվաքանակը (արդյունաբերական գոտիներ ունեցող մարզային համայնքներ)</t>
  </si>
  <si>
    <t>Արդյունաբերական գոտիների համայնքներում արդիական ոչ ֆորմալ ուսուցում իրականացնող հաստատությունների քանակ, հատ</t>
  </si>
  <si>
    <t>Արդյունաբերական գոտիների համայնքներում ոչ ֆորմալ ուսուցում իրականացնող պետական հաստատությունների վերապատրաստված դասախոսների մասնաբաժին, %</t>
  </si>
  <si>
    <t>Ոչ ֆորմալ ուսուցում իրականացնող պետական մասնագիտական կրթական հաստատությունների դասախոսների թվում վերապատրաստված դասախոսների մասնաբաժինը (արդյունաբերական գոտիներ ունեցող մարզային համայնքներ)</t>
  </si>
  <si>
    <t>Մարզերում դրամաշնորհային ծրագրերի  մասնակից հաստատությունների միջին թիվ, մասնակից</t>
  </si>
  <si>
    <t xml:space="preserve">Մարզերում դրամաշնորհային ծրագրերի արդյունքում ոչ ֆորմալ ուսուցում անցած անձանց թվում բարձր արտադրողական ոլորտներում զբաղվածություն ձեռք բերածների մասնաբաժին, % </t>
  </si>
  <si>
    <t>Դրամաշնորհային ծրագրերի արդյունքում ոչ ֆորմալ ուսուցում անցած անձանց թվում նրանց մասնաբաժինը, որոնք ուսուցումն ավարտելուց հետո վեց ամսվա ընթացքում զբաղվածություն են ձեռք բերել բարձր արտադրողական (սահմանված) ոլորտներում (մարզեր)</t>
  </si>
  <si>
    <t>Մարզերում դրամաշնորհային ծրագրերի քանակ, հատ</t>
  </si>
  <si>
    <t>Տվյալ տարվա ընթացքում իրականցված դրամաշնորհային ծրագրերի քանակը (մարզեր)</t>
  </si>
  <si>
    <t>Մարզերում մասնագիտական վերապատրաստման հարթակի օգտագործողների թվաքանակ, մարդ</t>
  </si>
  <si>
    <t>Մասնագիտական վերապատրաստման հարթակի միջոցով առնվազն մեկ դասընթաց ավարտած օգտագործողների թվաքանակ (մարզեր)</t>
  </si>
  <si>
    <t>ՀՀ գյուղական բնակչության ոչ գյուղատնտեսական զբաղվածության մասնաբաժին, %</t>
  </si>
  <si>
    <t>Գյուղական բնակչության կազմում ոչ գյուղատնտեսական ոլորտներում (տնտեսական գործունեության տեսակների Հայաստանի դասակարգչի B-U խմբեր) զբաղվածների թվաքանակի հարաբերությունը զբաղվածների ընդհանուր թվին (ՀՀ, 15-74 տարեկան բնակչություն)</t>
  </si>
  <si>
    <t>Գյուղական բնակավայրերում հանրային տրանսպորտի ծածկողականության ցուցանիշ, %</t>
  </si>
  <si>
    <t>Արդյունաբերական գոտիների համայնքներում հիմնանորոգված ճանապարհների մասնաբաժին, %</t>
  </si>
  <si>
    <t>Հիմնանորոգված ճանապարհների երկարության հարաբերությունը ճանապարհային ցանցի ընդհանուր երկարությանը (արդյունաբերական գոտիներ ունեցող մարզային համայնքներ)</t>
  </si>
  <si>
    <t>Արդյունաբերական գոտիների համայնքներին հատկացված ճանապարհաշինական սուբվենցիաների մասնաբաժին, %</t>
  </si>
  <si>
    <t xml:space="preserve">Արդյունաբերական գոտիներ ունեցող մարզային համայնքներին հատկացված ճանապարհաշինական սուբվենցիաների գումարի հարաբերությունը ՀՀ բոլոր համայնքներին հատկացված ճանապարհաշինական սուբվենցիաների ընդհանուր գումարին  </t>
  </si>
  <si>
    <t>Մինչև 3 տարի վաղեմություն ունեցող ավտոտրանսպորտային միջոցների թվաքանակի հարաբերությունը ավտոտրանսպորտային միջոցների ընդհանուր թվաքանակին (արդյունաբերական գոտիներ ունեցող մարզային համայնքներ)</t>
  </si>
  <si>
    <t>Արդյունաբերական գոտիների համայնքներում ներհամայնքային կանոնավոր փոխադրում իրականացնող օպերատորների` նոր ավտոտրանսպորտային միջոցների մասնաբաժին, %</t>
  </si>
  <si>
    <t>Տվյալ տարվա ընթացքում օպերատորների կողմից ներհամայնքային երթուղիներով փոխադրած ուղևորների թվաքանակը (արդյունաբերական գոտիներ ունեցող մարզային համայնքներ)</t>
  </si>
  <si>
    <t>Ավելի քան 500 հազար դրամ աշխատավարձ (կամ դրան հավասարեցված վճարում) ստացող զբաղվածների թվի և զբաղվածների ընդհանուր թվի հարաբերությունը (մարզային քաղաքներ)</t>
  </si>
  <si>
    <t>ՀՀ սոցիալ-տնտեսական վիճակը, Արմստատ</t>
  </si>
  <si>
    <t>Շահագործման հանձնված բնակելի շենքերի ընդհանուր մակերեսը (մարզեր)</t>
  </si>
  <si>
    <t>Կրթական տեխնոլոգիաների ազգային կենտրոնի տվյալների բազա</t>
  </si>
  <si>
    <t>ՀՀ - Հիմնանորոգված դպրոցների թիվը</t>
  </si>
  <si>
    <t>ՀՀ - Հիմնանորոգված դպրոցներում սովորող աշակերտների թիվը</t>
  </si>
  <si>
    <t>Երևան - Հիմնանորոգված դպրոցների թիվը</t>
  </si>
  <si>
    <t>Երևան - Հիմնանորոգված դպրոցներում սովորող աշակերտների թիվը</t>
  </si>
  <si>
    <t>Մարզեր - Հիմնանորոգված դպրոցների թիվը</t>
  </si>
  <si>
    <t>Մարզեր - Հիմնանորոգված դպրոցներում սովորող աշակերտների թիվը</t>
  </si>
  <si>
    <t>ՀՀ - Հանրակրթական պետական հաստատություններում աշակերտների թիվ</t>
  </si>
  <si>
    <t>Երևան - Հանրակրթական պետական հաստատություններում աշակերտների թիվ</t>
  </si>
  <si>
    <t>Մարզեր - Հանրակրթական պետական հաստատություններում աշակերտների թիվ</t>
  </si>
  <si>
    <t>ՀՀ - Հանրակրթական ոչ պետական հաստատություններում աշակերտների թիվ</t>
  </si>
  <si>
    <t>Երևան - Հանրակրթական ոչ պետական հաստատություններում աշակերտների թիվ</t>
  </si>
  <si>
    <t>Մարզեր - Հանրակրթական ոչ պետական հաստատություններում աշակերտների թիվ</t>
  </si>
  <si>
    <t>Գյուղեր - ընդամենը ՀՀ - Սաների թիվը նախադպր․ համայնք․/գերատեսչ․ հաստ․</t>
  </si>
  <si>
    <t>Ընդամենը ՀՀ - Մշտական բնակչություն, 0-5 տարեկան, տարվա վերջի դրությամբ</t>
  </si>
  <si>
    <t>Երևան - Մշտական բնակչություն, 0-5 տարեկան, տարվա վերջի դրությամբ</t>
  </si>
  <si>
    <t>Մարզեր - Մշտական բնակչություն, 0-5 տարեկան, տարվա վերջի դրությամբ</t>
  </si>
  <si>
    <t>Քաղաքներ - ընդամենը ՀՀ - Սաների թիվը նախադպր․ համայնք․/գերատեսչ․ հաստ․</t>
  </si>
  <si>
    <t>Երևան - Սաների թիվը նախադպր․ համայնք․/գերատեսչ․ հաստ․</t>
  </si>
  <si>
    <t>Ընդամենը ՀՀ - Սաների թիվը նախադպր․ համայնք․/գերատեսչ․ հաստ․</t>
  </si>
  <si>
    <t>Մարզեր - Սաների թիվը նախադպր․ համայնք․/գերատեսչ․ հաստ․</t>
  </si>
  <si>
    <t>Մարզային քաղաքներ - Սաների թիվը նախադպր․ համայնք․/գերատեսչ․ հաստ․</t>
  </si>
  <si>
    <t>Գյուղեր - ընդամենը ՀՀ - Մշտ. բնակչություն, 0-5 տարեկան, տարվա վերջի դրությամբ</t>
  </si>
  <si>
    <t>Մարզային քաղաքներ - Մշտ. բնակչություն, 0-5 տարեկան, տարվա վերջի դրությամբ</t>
  </si>
  <si>
    <t>Նախադպրոցական համայնքային հաստատություններում ընդգրկված երեխաների թվաքանակի և մինչև 6 տարեկան բնակչության թվի հարաբերությունը (մարզեր)</t>
  </si>
  <si>
    <t>Մարզերում նախադպրոցական հաստատություններում համախառն ընդգրկվածության դրույք, %</t>
  </si>
  <si>
    <t>Մշակող արդյունաբերության և հանքարդյունաբերության (տնտեսական գործունեության տեսակների Հայաստանի դասակարգիչ, B և C խմբեր) կշիռը ՀՆԱ-ում (արտադրության եղանակով, ընթացիկ գներով) (ՀՀ)</t>
  </si>
  <si>
    <t>Մշակող արդյունաբերությունում և հանքարդյունաբերությունում զբաղվածների թվաքանակի և ընդամենը զբաղվածների թվաքանակի հարաբերությունը (մարզային քաղաքները ներառող համայնքներ, 15-74 տարեկան)</t>
  </si>
  <si>
    <t>Մարզերում արդյունաբերական արտադրանքի թողարկման ծավալի մասնաբաժինը ՀՀ ընդհանուրի նկատմամբ</t>
  </si>
  <si>
    <t>Զբաղվածներ - քաղաք, 1000 մարդ, 15-74</t>
  </si>
  <si>
    <t>Աշխատանքային ռեսուրսներ - քաղաք, 1000 մարդ, 15-74 տարեկան</t>
  </si>
  <si>
    <t>Զբաղվածներ - քաղաք - գյուղատնտեսություն, 1000 մարդ, 15-74</t>
  </si>
  <si>
    <t>Աշխատանքային ռեսուրսներ, ընդամենը, 1000 մարդ, 15-74</t>
  </si>
  <si>
    <t>Աշխատանքի թերօգտագործման ագրեգացված ցուցանիշ, ընդամենը, 1000 մարդ, 15-74</t>
  </si>
  <si>
    <t>Զբաղվածներ - քաղաք - ոչ գյուղատնտեսություն, 1000 մարդ, 15-74</t>
  </si>
  <si>
    <t>Զբաղվածներ - մ․ք․ն․հ․ - գյուղատնտեսություն, 1000 մարդ, 15-74</t>
  </si>
  <si>
    <t>Աշխատանքի թերօգտագործում - քաղաք, 1000 մարդ, 15-74</t>
  </si>
  <si>
    <t>Ընտանեկան և սոցիալական նպաստ ստացող ընտանիքների չափահաս անդամների թվում ֆունկցիոնալության սահմանափակում չունեցող չափահաս անձանց մասնաբաժինը (ՀՀ ընդամենը)</t>
  </si>
  <si>
    <t>Տղամարդ և կին զբաղվածների (վարձու և ոչ վարձու աշխատող) միջին ամսական զուտ աշխատավարձների/եկամուտների տոկոսային տարբերությունը (ՀՀ բնակչություն, 15-74 տարեկան)</t>
  </si>
  <si>
    <t>Աշխատանքի թերօգտագործման ագրեգացված ցուցանիշի հարաբերությունը նույն տարիքային խմբի զբաղվածների թվաքանակին (ՀՀ բնակչություն, 20-29 տարեկան)</t>
  </si>
  <si>
    <t>Զբաղվածների մասնաբաժինը նույն տարիքային խմբի աշխատանքային ռեսուրսների նկատմամբ (ՀՀ բնակչություն, 25-29 տարեկան)</t>
  </si>
  <si>
    <t>Չսովորող, չաշխատող երիտասարդների մասնաբաժինը նույն տարիքային խմբի աշխատանքային ռեսուրսների նկատմամբ (ՀՀ բնակչություն, 20-29 տարեկան)</t>
  </si>
  <si>
    <t>Միջին ամսական զուտ աշխատավարձը/եկամուտը (դրամական և/կամ բնաիրային) ոչ գյուղատնտեսական ոլորտներում (տնտեսական գործունեության տեսակների Հայաստանի դասակարգչի B-U խմբեր) (ՀՀ բնակչություն, 15-74 տարեկան)</t>
  </si>
  <si>
    <t>Աշխատանքի թերօգտագործման ագրեգացված ցուցանիշի հարաբերությունը աշխատանքային ռեսուրսներին (ՀՀ բնակչություն, 15-74 տարեկան)</t>
  </si>
  <si>
    <t>Զբաղվածների մասնաբաժինը աշխատանքային ռեսուրսների նկատմամբ (ՀՀ բնակչություն, 15-74 տարեկան)</t>
  </si>
  <si>
    <t>Զբաղվածների մասնաբաժինը աշխատանքային ռեսուրսների նկատմամբ (մարզային քաղաքներ ներառող համայնքների բնակչություն, 15-74 տարեկան)</t>
  </si>
  <si>
    <t>Ոչ գյուղատնտեսական ոլորտներում (տնտեսական գործունեության տեսակների Հայաստանի դասակարգչի B-U խմբեր) զբաղվածների թվաքանակի հարաբերությունը զբաղվածների ընդհանուր թվին (մարզային քաղաքներ ներառող համայնքների բնակչություն, 15-74 տարեկան)</t>
  </si>
  <si>
    <t>Աշխատանքի թերօգտագործման ագրեգացված ցուցանիշի հարաբերությունը զբաղվածների թվաքանակին (մարզային քաղաքներ ներառող համայնքներ բնակչություն, 15-74 տարեկան)</t>
  </si>
  <si>
    <t>ՀՀ պետական բյուջեի՝ զբաղվածության ծրագրի գծով ​ծախսերի (փաստացի, ընթացիկ գներով) աճի տեմպի և  զբաղվածների (ՀՀ ընդամենը, 15-74 տարեկան) թվաքանակի աճի տեմպի հարաբերությունը</t>
  </si>
  <si>
    <t>Մարզերում հիմնանորոգված հանրակրթական դպրոցներում սովորող աշակերտների մասնաբաժին, %</t>
  </si>
  <si>
    <t>Տվյալ և նախորդ երկու տարիների ընթացքում հիմնանորոգված հանրակրթական դպրոցներում սովորող աշակերտների թվի և աշակերտների ընդհանուր թվի հարաբերությունը (մարզեր)</t>
  </si>
  <si>
    <t>Զբաղվածներ - ըստ սեռի -  կին, 15-74, 1000 մարդ</t>
  </si>
  <si>
    <t>Աշխատանքային ռեսուրսներ-  ըստ սեռի- կին, 15-74, 1000 մարդ</t>
  </si>
  <si>
    <t>Կ/Չ, Արդյունաբերական գոտիներին առնվող բոլոր ցուցանիշների բազային արժեքները կսահմանվեն M 1.2.1.2 կետում նշված ծրագրի իրագործումից հետո։</t>
  </si>
  <si>
    <t>Ընտանեկան և սոցիալական նպաստ ստացող ընտանիքների քանակը, տարեվերջին, միավոր</t>
  </si>
  <si>
    <t>ՀՀ-ում ընտանեկան և սոցիալական նպաստ ստացող ընտանիքների կազմում ֆունկցիոնալության սահմանափակում չունեցող չափահասների մասնաբաժին, %</t>
  </si>
  <si>
    <t>Հաշվետվություն ՀՀ պետական բյուջեի  ծախսերի կատարման  վերաբերյալ՝ ըստ պետական մարմինների կողմից իրականացվող ծրագրերի։ Տող՝ 1088, փաստացի։</t>
  </si>
  <si>
    <t>ՀՀ-ում գործատուների (սեփականատերերի) թվում կանանց մասնաբաժին, %</t>
  </si>
  <si>
    <t>Գործատու, ընդամենը, 15-74, 1000 մարդ</t>
  </si>
  <si>
    <t>Գործատու, կին, 15-74, 1000 մարդ</t>
  </si>
  <si>
    <t>Կին գործատուների թվաքանակի հարաբերությունը գործատուների ընդհանուր թվաքանակին</t>
  </si>
  <si>
    <t>Մշտադիտարկման ցուցանիշի թիրախներ</t>
  </si>
  <si>
    <t>Պատասխանատու մարմին</t>
  </si>
  <si>
    <t>Իրականացման ժամանակացույց</t>
  </si>
  <si>
    <t>Ֆինանսավորում հ. ՀՀ դրամ</t>
  </si>
  <si>
    <t xml:space="preserve">Ընտանեկան և սոցիալական նպաստ ստացող առանց սահմանափակումների աշխատունակ շահառուների աշխատաշուկայում առավելագույնս արդյունավետ ինտեգրում՝ սոցիալական նպաստի համակարգի արդյունավետության բարձրացման նպատակով </t>
  </si>
  <si>
    <t xml:space="preserve">Ստեղծել խթաններ մարզային քաղաքներում աշխատաշուկայի պահանջարկին բավարարող և գործնական հմտությունների ձևավորման վրա հիմնված մասնագիտական կրթական ծառայությունների մատուցման համար` ոչ գյուղատնտեսական բարձր արտադրողական ոլորտները մրցունակ աշխատանքային ռեսուրսներով ապահովելու նպատակով </t>
  </si>
  <si>
    <t>Արդյունաբերական գոտիներ ունեցող մարզային համայնքները ներառող քաղաքներում ոչ ֆորմալ ուսուցում իրականացնող մասնագիտական կրթական հաստատությունների կրթական ծրագրերի համապատասխանեցում արդյունաբերական գոտու մասնագիտացման ուղղությանը</t>
  </si>
  <si>
    <t>Արդյունաբերական գոտիներ ունեցող մարզային համայնքներում գործող սեփականության ցանկացած ձև ունեցող ոչ ֆորմալ ուսուցում իրականացնող մասնագիտական կրթական հաստատությունների կապիտալ ծախսերի փոխհատուցում, այդ թվում կրթական և լաբորատոր սարքավորումների տրամադրում</t>
  </si>
  <si>
    <t>ՀՀ մարզային քաղաքներում տեղակայված Միասնական սոցիալական ծառայության տարածքային կենտրոնների (ինչպես նաև պետության կողմից  ստեղծված Երիտասարդական կենտրոնների) տարածքում Ինտերակտիվ մասնագիտական վերապատրաստման հարթակի գրասենյակների բացում, որոնց կապիտալ և օպերացիոն ծախսերը` ներառյալ դասընթքցների նյութերի հայերեն թարգմանությունը, կփոխհատուցվեն պետության կողմից</t>
  </si>
  <si>
    <t>Բարձրակարգ մասնագետների ներգրավման խթանում` արդյունաբերական գոտիներում գտնվող ընկերությունների կողմից ավելի քան 500 հազար ՀՀ դրամ  վարձատրություն ստացող մասնագետների  աշխատավարձի 20%-ի փոխհատուցման միջոցով` նման մասնագետների` արդյունաբերական գոտիներում գտնվող ընկերություններ տեղափոխվելու դեպքում: Միաժամանակ կորոշվի վերադարձի վերին շեմը։</t>
  </si>
  <si>
    <t>Սուբվենցիոն ծրագրերի ընդլայնում` առաջնահերթություն տալով պետական արդյունաբերական գոտիներ ունեցող մարզային համայնքներին` սուբվենցիոն ծրագրերի ֆինանսավորման պետության մասնաբաժինն ավելացնելով 10 տոկոսային կետով</t>
  </si>
  <si>
    <t>Բնակչության ռազմավարության շրջանակներում մշակված  բնակչության կանխատեսման հիման վրա</t>
  </si>
  <si>
    <t>Կանխատեսվող աճը պատմական CAGR-ով</t>
  </si>
  <si>
    <t>Մշտադիտարկման ցուցանիշի թիրախների հաշվարկի նկարագրություն</t>
  </si>
  <si>
    <t>Ֆինանսավորման  հաշվարկի նկարագրություն</t>
  </si>
  <si>
    <t xml:space="preserve">ՀՀ 20-29 տարեկան Չսովորող և չաշխատող երիտասարդների  և զբաղվածների թվաքանակի հարաբերություն, % </t>
  </si>
  <si>
    <t>Հաշվարկված է՝ հաշվի առնելով բոլոր թիրախային խմբերի համար աշխատուժի թերօգտագործման ցուցանիշների փոփոխությունները</t>
  </si>
  <si>
    <t>Հաշվարկը հիմնված է համամասնության վրա՝ զբաղվածության ցուցիչի CAGR (պատմական տվյալներ) - աղքատության ցուցիչի CAGR (պատմական տվյալներ), զբաղվածության ցուցիչի CAGR (կանխատեսվող տվյալներ) - աղքատության ցուցիչի CAGR (կանխատեսվող տվյալներ)</t>
  </si>
  <si>
    <t>Զբաղվածության աճ (ընդհանուր) - զբաղվածության աճ Երևանում - զբաղվածության աճ գյուղական բնակավայրերում</t>
  </si>
  <si>
    <t>Հաշվարկը հաշվի է առնում մարզային քաղաքների տվյալները և այն գյուղական բնակավայրերի մասնաբաժինը, որոնք մարզային քաղաք ներառող համայնքների մաս են կազմում</t>
  </si>
  <si>
    <t>2023 թվականը դիտարկվել է ըստ պատմական CAGR-ի: Նախատեսվող աճը գնահատվել է հաշվի առնելով մ․ք․ն․հ․ զբաղվածության աճը, քանի որ զբաղվածության հիմնական աճը նախատեսված է ոչ գյուղատնտեսական ոլորտներում:</t>
  </si>
  <si>
    <t>Նախատեսվող փոփոխությունը գնահատվել է՝ հաշվի առնելով մ․ք․ն․հ․ զբաղվածության աճը, ինչպես նաև գյուղատնտեսության ոլորտից աշխատուժի հնարավոր ավելցուկը:</t>
  </si>
  <si>
    <t>Հաշվի առնելով կանանց զբաղվածության աճը</t>
  </si>
  <si>
    <t>Կհաշվարկվի ֆունկցիոնալության գնահատման համակարգը ներդնելուց և տվյալներ ստանալուց հետո</t>
  </si>
  <si>
    <t>2023 և 2024 թվականների ծախսերը հիմնված են պետական ​​բյուջեի տվյալների վրա։ Կանխատեսվող տվյալները հաշվարկվում են պատմական CAGR-ի հիման վրա, ինչպես նաև հաշվի առնելով 2027 թվականին նպաստների վճարումների չեղարկումը որոշ շահառուների համար:</t>
  </si>
  <si>
    <t xml:space="preserve">Հաշվի առնելով 2027 թվականին նպաստների վճարումների չեղարկումը որոշ շահառուների համար </t>
  </si>
  <si>
    <t>+</t>
  </si>
  <si>
    <t>Ընտրված պրոֆեսիոնալ օպերատորներով պետական արդյունաբերական գոտիների թվաքանակը (կուտակային ցուցանիշ)</t>
  </si>
  <si>
    <t>Պետության կողմից ստեղծված արդյունաբերական գոտիների թվաքանակը (կուտակային ցուցանիշ)</t>
  </si>
  <si>
    <t>Մասնավոր արդյունաբերական գոտիների թվաքանակը (կուտակային ցուցանիշ)</t>
  </si>
  <si>
    <t>Մարզային քաղաքներ ներառող համայնքներում տարվա ընթացքում ծրագրի շրջանակներում վերապատրաստվածների և աշխատանքի թերօգտագործման հարաբերություն, %</t>
  </si>
  <si>
    <t>Մարզային քաղաքները ներառող համայնքների արդյունաբերական գոտիներում գտնվող ընկերություններում  ավելի քան 500 հազար ՀՀ դրամ վարձատրություն ստացող մասնագետների մասնաբաժինը այդ համայնքներում ընդհանուր զբաղվածների մեջ</t>
  </si>
  <si>
    <t>Արդյունաբերական գոտիների համայնքներում ներհամայնքային ուղևորափոխադրումների տարեկան ծավալ,  մարդ</t>
  </si>
  <si>
    <t>Սույն ծրագրով հաստատված լիզինգային պայմանագրերի միջին ծավալը մեկ ընկերության համար,  հ. ՀՀ դրամ</t>
  </si>
  <si>
    <t>CAGR-ը 2018-2021 թվականներին կազմել է 1.25%, իսկ 2018-2022 թվականներին կազմել է 2%: 2023 թվականը դիտարկվել է ըստ իներցիոն սցենարի, իսկ աճը հաշվարկվել է ըստ պատմական 2018-2022 թվականների CAGR-ի: 2024-2025 թիրախները հաշվարկվել են ըստ արագացված աճի սցենարի 2,5% CAGR-ով: Հաշվի առնելով 2026 թվականից սկսած արդյունաբերական գոտիների ակտիվ ստեղծումը և առաջարկի ու պահանջարկի վրա զգալի ազդեցությունը՝ 2026-2030 թվականներին զբաղվածության տարեկան աճը գնահատվում է 3%:</t>
  </si>
  <si>
    <t xml:space="preserve">Հաշվարկը հիմնված է պատմական CAGR-ի վրա: Հաշվարկը հաշվի է առնում նաև արդյունաբերական գոտիների զարգացման հիման վրա զբաղվածության տեղափոխումը մարզային քաղաքներ։ </t>
  </si>
  <si>
    <t xml:space="preserve">Հաշվարկը հիմնված է պատմական CAGR-ի վրա: Հաշվարկը հաշվի է առնում նաև գյուղատնտեսական զբաղվածությունից արագացված ելքը, ինչպես նաև զբաղվածության անցումը մարզային քաղաքներ՝ հիմնվելով արդյունաբերական գոտիների զարգացման վրա։ </t>
  </si>
  <si>
    <t>Բնակչության ռազմավարության շրջանակներում մշակված  բնակչության կանխատեսման հիման վրա: Տվյալները պետք է թարմացվեն՝ հիմնվելով ժողովրդագրական կանխատեսման մոդելի թարմացման վրա՝ արտացոլելու վերջին մարդահամարը:</t>
  </si>
  <si>
    <t>Փոփոխությունը հաշվարկվում է՝ հաշվի առնելով ընդհանուր աշխատանքային ռեսուրսների փոփոխությունները: Տվյալները պետք է թարմացվեն՝ հիմնվելով ժողովրդագրական կանխատեսման մոդելի թարմացման վրա՝ արտացոլելու վերջին մարդահամարը:</t>
  </si>
  <si>
    <t>Աշխատանքային ռեսուրսներ, ընդամենը, 1000 մարդ, 20-29</t>
  </si>
  <si>
    <t>Հաշվարկը հիմնված է պատմական CAGR-ի վրա : Հաշվարկը հաշվի է առնում նաև ռազմավարական ծրագրերի շնորհիվ զբաղվածության արագացված աճը։</t>
  </si>
  <si>
    <t>Աշխատանքային ռեսուրսներ, ընդամենը, 1000 մարդ, 25-29</t>
  </si>
  <si>
    <t>Հաշվի առնելով  զբաղվածության ընդհանուր աճի տեմպերը: Հաշվարկը հաշվի է առնում նաև ռազմավարական ծրագրերի շնորհիվ զբաղվածության արագացված աճը։</t>
  </si>
  <si>
    <t xml:space="preserve">Հաշվարկը հիմնված է պատմական CAGR-ի վրա: Հաշվարկը հաշվի է առնում նաև ռազմավարական ծրագրերի շնորհիվ զբաղվածության արագացված աճը։ </t>
  </si>
  <si>
    <t>Հաշվարկը հիմնված է պատմական CAGR-ի վրա: Հաշվարկում հաշվի է առնվել նաև հիմնական պարենային զամբյուղի տարեկան 4% գնաճը։</t>
  </si>
  <si>
    <t>Հաշվարկը հաշվի է առնում պատմական CAGR-ը, բայց նաև ոչ գյուղատնտեսական ոլորտներում աշխատավարձերի աճի տեմպերը (որը կլինի հիմնական թիրախը): Հաշվարկը հաշվի է առնում նաև ռազմավարական ծրագրերի շնորհիվ զբաղվածության արագացված աճը։  Հաշվարկում հաշվի է առնվել նաև հիմնական պարենային զամբյուղի տարեկան 4% գնաճը։</t>
  </si>
  <si>
    <t>Հաշվարկը հիմնված է պատմական տվյալների վրա: Հաշվարկում հաշվի է առնվել նաև հիմնական պարենային զամբյուղի տարեկան 4% գնաճը։</t>
  </si>
  <si>
    <t>Հաշվարկված է զբաղվածության և միջին աշխատավարձի ցուցանիշների հիման վրա</t>
  </si>
  <si>
    <t>Հաշվարկում հաշվի են առնվելու միայն Աշխատանքի և սոցիալական հարցերի նախարարության պատասխանատվության տակ գտնվող զբաղվածության ռազմավարության միջոցառումների վրա կատարված բյուջետային ծախսերը։</t>
  </si>
  <si>
    <t>Տվյալ տարվա ընթացքում իրականացված դրամաշնորհային ծրագրերի մասնակից հաստատությունների ընդհանուր թվի (մարզեր)</t>
  </si>
  <si>
    <t>Մարզերում գտնվող և չօգտագործվող արդյունաբերական նշանակության տարածքների մասնաբաժինը (օգտագործվում են միայն իրավաբանական անձանց պատկանող տարածքների տվյալները. Ճշգրտության համար տվյալների ավելի մանրամասն վերլուծություն է պահանջվում )</t>
  </si>
  <si>
    <t xml:space="preserve">1.1 և 1.2. մասնավոր նպատակների ցուցիչների գումարը </t>
  </si>
  <si>
    <t>Սույն ծրագրի միջոցառումների ցուցանիշների գումարը</t>
  </si>
  <si>
    <t>Հաշվարկը հաշվի է առնում շահառուների թիվը, մարզերում բնակելի տարածքի միջին արժեքը (հաշվի առնելով տարեկան գնաճը) և սուբսիդավորման մասնաբաժինը։</t>
  </si>
  <si>
    <t>Այս միջոցառումը բյուջեի համար լրացուցիչ ծախսեր չի նախատեսում։</t>
  </si>
  <si>
    <t>Խորհրդատվական աջակցության արդյունքում 1.2.2 և 1.2.4 կետերում նշված պետական ​​ֆինանսական աջակցության ծրագրերի շրջանակներում հաստատված վարկերի թիվը</t>
  </si>
  <si>
    <t>Հաշվարկը հիմնված է թարմացված  ոչ ֆորմալ ուսուցում իրականացնող մասնագիտական կրթական հաստատությունների տարեկան թվի վրա, որը փոխկապակցված է ստեղծված արդյունաբերական գոտիների (և պետական, և մասնավոր) թվի հետ։ Հաշվարկում հաշվի է առնվել նաև մեկ ուսումնական հաստատության վերանորոգման համար կապիտալ ներդրումների միջին արժեքը (2023 և 2024 թվականների պետական ​​բյուջեների տվյալների հիման վրա) (որը կազմում է մոտավորացված 40 մլն ՀՀ դրամ), ինչպես նաև 4% տարեկան գնաճը։</t>
  </si>
  <si>
    <t>Հաշվարկը հիմնված է շահառուների տարեկան թվի վրա (հաշվարկվում է աշխատուժի թերօգտագործման կրճատման հիման վրա), Coursera հարթակում մասնագիտական ​​դասընթացի միջին արժեքի (որը կազմում է մոտավորացված 60 հ. ՀՀ դրամ) և տարեկան 4% գնաճի վրա:</t>
  </si>
  <si>
    <t>Հաշվարկը հիմնված է 2023 և 2024 թվականներին պետական ​​բյուջեներից միջմարզային ճանապարհների զարգացման ծրագրերի միջին ծախսերի վրա (որը 2024 թվականին կազմելու է մոտավորացված 2 700 մլն ՀՀ դրամ)։ Այս տվյալները տարեկան կտրվածքով աճում են թիրախային խմբում զբաղվածության աճի տեմպերին և տարեկան 4% գնաճին համապատասխան:</t>
  </si>
  <si>
    <t>Հաշվարկում օգտագործվում են հետևյալ ցուցանիշները՝ միջին տարեկան ուղևորահոսքը (որը հաշվարկվում է՝ հաշվի առնելով արդյունաբերական գոտիների քանակը), 1 ուղևորի փոխադրման միջին արժեքը (որը կազմում է մոտավորացված 10 հ. ՀՀ դրամ), 4% տարեկան գնաճը և սուբսիդիաների տեսակարար կշիռը։</t>
  </si>
  <si>
    <t>Հաշվարկը հաշվի է առնում մասնակիցների թիվը, մեկ մասնակցի մասնակցության միջին արժեքը (որը կազմում է մոտավորացված 50 հ. ՀՀ դրամ) և 4% տարեկան գնաճը</t>
  </si>
  <si>
    <t>Հաշվարկը հաշվի է առնում շահառուների թիվը, միջին աշխատավարձը (որը կազմում է մոտավորացված 500 հ. ՀՀ դրամ), 4% տարեկան գնաճը և եկամտահարկի վերադարձի մասնաբաժինը (20%-ի 50%-ը)։</t>
  </si>
  <si>
    <t>Հաշվարկը հաշվի է առնում շահառուների թիվը և մեկ շահառուի աքսելերացիոն ծրագրի միջին արժեքը (որը 2023 թվականին կազմում է մոտավորացված 5 մլն ՀՀ դրամ):</t>
  </si>
  <si>
    <t>Հաշվարկը հիմնված է թարմացված  ոչ ֆորմալ ուսուցում իրականացնող մասնագիտական կրթական հաստատությունների տարեկան թվի վրա, որը փոխկապակցված է ստեղծված արդյունաբերական գոտիների (և պետական, և մասնավոր) թվի հետ։ Հաշվարկը հաշվի է առնում նաև մեկ հաստատության ուսուցիչների միջին թիվը (որը կազմում է մոտավորացված 60), ինչպես նաև մեկ մասնագետի մասնագիտական ​​վերապատրաստման ծախսերի միջին արժեքը (որը կազմում է մոտավորացված 100 հ. ՀՀ դրամ) ու 4% տարեկան գնաճը:</t>
  </si>
  <si>
    <t>Հաշվարկը հիմնված է շահառուների տարեկան թվի վրա (հաշվարկվում է աշխատուժի թերօգտագործման կրճատման հիման վրա), մասնագիտական ​​վերապատրաստման ծրագրի միջին արժեքի (որը կազմում է մոտավորացված 100 հ. ՀՀ դրամ) և տարեկան 4% գնաճի վրա:</t>
  </si>
  <si>
    <t>Միջոցառման իրականացման համար տեխնիկական աջակցության խորհրդատվության միջին արժեքը</t>
  </si>
  <si>
    <t>SpG 2.1</t>
  </si>
  <si>
    <t>Երիտասարդների` աշխատանքի շուկայի պահանջներին համապատասխան մրցակցային հմտությունների և որակավորումների ձևավորման նպատակով շարունակական մասնագիտական վերապատրաստումների իրականացում</t>
  </si>
  <si>
    <t>P 2.1.1</t>
  </si>
  <si>
    <t>2.1.1.i1</t>
  </si>
  <si>
    <t>ՀՀ 20-29 տարեկան բնակչության՝ մասնագիտական կրթությունում ընդգրկվածության ցուցանիշ, %</t>
  </si>
  <si>
    <t>Մասնագիտական կրթությունում ընդգրկվածների մասնաբաժինը նույն տարիքային խմբի աշխատանքային ռեսուրսների նկատմամբ (ՀՀ, 20-29 տարեկան)</t>
  </si>
  <si>
    <t>Աշխատանքային ռեսուրսներ, 20-29 տարեկան, մարդ</t>
  </si>
  <si>
    <t>Մասնագիտական կրթությունում ներգրավված 20-29 տարեկան անձանց թիվը, մարդ</t>
  </si>
  <si>
    <t>M 2.1.1.1</t>
  </si>
  <si>
    <t>2.1.1.1.i1</t>
  </si>
  <si>
    <t>Ոչ ֆորմալ մասնագիտական կրթության մրցակցային հիմունքներով իրականացվող պետական ​​ֆինանսավորման մասնաբաժինը</t>
  </si>
  <si>
    <t>M 2.1.1.2</t>
  </si>
  <si>
    <t>2.1.1.2.i1</t>
  </si>
  <si>
    <t>Ծրագրի շրջանավարտների թվաքանակը</t>
  </si>
  <si>
    <t>P 2.1.2</t>
  </si>
  <si>
    <t>2.1.2.i1</t>
  </si>
  <si>
    <t>2.1.2.i2</t>
  </si>
  <si>
    <t>2.1.2.i3</t>
  </si>
  <si>
    <t>M 2.1.2.1</t>
  </si>
  <si>
    <t>2.1.2.1.i1</t>
  </si>
  <si>
    <t>M 2.1.2.2</t>
  </si>
  <si>
    <t>2.1.2.2.i1</t>
  </si>
  <si>
    <t>M 2.1.2.3</t>
  </si>
  <si>
    <t>2.1.2.3.i1</t>
  </si>
  <si>
    <t>M 2.1.2.4</t>
  </si>
  <si>
    <t>2.1.2.4.i1</t>
  </si>
  <si>
    <t>Կրթաթոշակին դիմորդների թվաքանակը</t>
  </si>
  <si>
    <t>M 2.1.2.5</t>
  </si>
  <si>
    <t>2.1.2.5.i1</t>
  </si>
  <si>
    <t>Երկակի աստիճանի ծրագրերի ուսանողների թվաքանակը</t>
  </si>
  <si>
    <t>P 2.1.3</t>
  </si>
  <si>
    <t>Մասնագիտական կողմնորոշման և աշխատանքի աջակցության տրամադրում, կարիերայի կառավարման հմտությունների զարգացում</t>
  </si>
  <si>
    <t>2.1.3.i1</t>
  </si>
  <si>
    <t>Միջին շեղումը թոփ 5 ամենաբարձր պահանջարկով մասնագիտական կրթական ծրագրերի ուսանողների մասնաբաժնի և այդ ոլորտներում զբաղվածության մասնաբաժնի միջև</t>
  </si>
  <si>
    <t>M 2.1.3.1</t>
  </si>
  <si>
    <t xml:space="preserve">Դրամաշնորհային ծրագրի իրականացում ընդհանուր ոչ մասնագիտական հմտությունների զարգացմամբ զբաղվող կազմակերպությունների շրջանակներում </t>
  </si>
  <si>
    <t>2.1.3.1.i1</t>
  </si>
  <si>
    <t>Մեկ դրամաշնորհային մրցույթի կազմակերպությունների միջին թիվը</t>
  </si>
  <si>
    <t>2.1.3.1.i2</t>
  </si>
  <si>
    <t>M 2.1.3.2</t>
  </si>
  <si>
    <t>2.1.3.2.i1</t>
  </si>
  <si>
    <t>P 2.1.4</t>
  </si>
  <si>
    <t>Պարտադիր զինվորական ծառայությունից վերադարձած երիտասարդների մրցունակության բարձրացման ծրագիր</t>
  </si>
  <si>
    <t>2.1.4.i1</t>
  </si>
  <si>
    <t>ՀՀ 20-24 տարեկան տղա բնակչության զբաղվածության մակարդակ, %</t>
  </si>
  <si>
    <t>Զբաղվածների մասնաբաժինը նույն սեռատարիքային խմբի աշխատանքային ռեսուրսների նկատմամբ (ՀՀ տղա բնակչություն, 20-24 տարեկան)</t>
  </si>
  <si>
    <t>Զբաղվածներ - տղաներ - 20-24, մարդ</t>
  </si>
  <si>
    <t>Աշխատանքային ռեսուրսներ - տղաներ, 20-24, մարդ</t>
  </si>
  <si>
    <t>M 2.1.4.1</t>
  </si>
  <si>
    <t>2.1.4.1.i1</t>
  </si>
  <si>
    <t>Ծրագրի մասնակիցների թվաքանակը</t>
  </si>
  <si>
    <t>M 2.1.4.2</t>
  </si>
  <si>
    <t>2.1.4.2.i1</t>
  </si>
  <si>
    <t>M 2.1.4.3</t>
  </si>
  <si>
    <t>2.1.4.3.i1</t>
  </si>
  <si>
    <t>M 2.1.4.4</t>
  </si>
  <si>
    <t>2.1.4.4.i1</t>
  </si>
  <si>
    <t>Նորք տեղեկատվական կենտրոն</t>
  </si>
  <si>
    <t>M 2.1.4.5</t>
  </si>
  <si>
    <t>2.1.4.5.i1</t>
  </si>
  <si>
    <t>M 2.1.4.6</t>
  </si>
  <si>
    <t>2.1.4.6.i1</t>
  </si>
  <si>
    <t xml:space="preserve">ՀՀ 25-29 տարեկան տղա բնակչության կազմում բարձրագույն կրթություն ունեցողների մասնաբաժինը, % </t>
  </si>
  <si>
    <t>Բարձրագույն կրթություն ունեցողների մասնաբաժինը նույն սեռատարիքային խմբի աշխատանքային ռեսուրսների նկատմամբ (ՀՀ տղա բնակչություն, 25-29 տարեկան)</t>
  </si>
  <si>
    <t>Աշխատանքային ռեսուրսներ - տղաներ, 25-29, մարդ</t>
  </si>
  <si>
    <t xml:space="preserve">  -- որից ունի բարձրագույն կրթություն</t>
  </si>
  <si>
    <t>P 2.1.5</t>
  </si>
  <si>
    <t>Միջին ու ավագ դպրոցներում մասնագիտական կողմնորոշման և սովորողների մոտ ֆինանսական գրագիտության բարելավում` հաշվի առնելով հանրակրթության պետական նոր չափորոշչով նախատեսված բաղադրիչները</t>
  </si>
  <si>
    <t>2.1.5.i1</t>
  </si>
  <si>
    <t>M 2.1.5.1</t>
  </si>
  <si>
    <t>2.1.5.1.i1</t>
  </si>
  <si>
    <t>2.1.5.1.i2</t>
  </si>
  <si>
    <t>Միջոցառումների մասնակիցների թվաքանակը</t>
  </si>
  <si>
    <t>M 2.1.5.2</t>
  </si>
  <si>
    <t>2.1.5.2.i1</t>
  </si>
  <si>
    <t>Մոդուլի մասնակիցների թվաքանակը</t>
  </si>
  <si>
    <t>M 2.1.5.3</t>
  </si>
  <si>
    <t>2.1.5.3.i1</t>
  </si>
  <si>
    <t>SpG 2.2</t>
  </si>
  <si>
    <t>Երիտասարդներին աշխատաշուկայում ներգրավելու և նրանց մրցունակ կարողությունների շարունակական զարգացման նպատակով մասնավոր հատվածի համար խթանների ստեղծում</t>
  </si>
  <si>
    <t>P 2.2.1</t>
  </si>
  <si>
    <t>18-29 տարեկան երիտասարդների համար  պրակտիկայի (այդ թվում` պետական հաստատություններում) անցկացմանը նպաստող մեխանիզմների ստեղծում, ինչպես նաև պետության ու մասնավորի համագործակցության մոդելների կիրառում</t>
  </si>
  <si>
    <t>2.2.1.i1</t>
  </si>
  <si>
    <t>M 2.2.1.1</t>
  </si>
  <si>
    <t>2.2.1.1.i1</t>
  </si>
  <si>
    <t xml:space="preserve">  Հաշվետվության ստացում</t>
  </si>
  <si>
    <t>M 2.2.1.2</t>
  </si>
  <si>
    <t>2.2.1.2.i1</t>
  </si>
  <si>
    <t>Աշխատանքային պրակտիկայից հետո առաջին անգամ աշխատաշուկա մուտք գործած 18-29 տարեկան երիտասարդների թվաքանակը</t>
  </si>
  <si>
    <t>M 2.2.1.3</t>
  </si>
  <si>
    <t>2.2.1.3.i1</t>
  </si>
  <si>
    <t>Աշխատանքային պրակտիկայում ներգրավված 18-29 տարեկան երիտասարդների թվաքանակը</t>
  </si>
  <si>
    <t>M 2.2.1.4</t>
  </si>
  <si>
    <t>2.2.1.4.i1</t>
  </si>
  <si>
    <t>M 2.2.1.5</t>
  </si>
  <si>
    <t>2.2.1.5.i1</t>
  </si>
  <si>
    <t>P 2.2.2</t>
  </si>
  <si>
    <t>Առաջին անգամ աշխատաշուկա մուտք գործած 18-29 տարեկան երիտասարդների համար սուբսիդավորվող աշխատանքի մեխանիզմի ներդնում (աշխատավարձի մասնակի փոխհատուցում և/կամ եկամտահարկի վերադարձ)</t>
  </si>
  <si>
    <t>2.2.2.i1</t>
  </si>
  <si>
    <t>ՀՀ-ում գործազուրկի կարգավիճակ ունեցող 18-29 տարեկան երիտասարդների թվում աշխատանքի տեղավորված անձանց մասնաբաժին, %</t>
  </si>
  <si>
    <t>Տվյալ տարվա ընթացքում աշխատանքի տեղավորված 18-29 տարեկան գործազուրկի կարգավիճակ ունեցող երիտասարդների թվաքանակի հարաբերությունը 18-29 տարեկան գործազուրկի կարգավիճակ ունեցող երիտասարդների ընդհանուր թվաքանակին (ՀՀ)</t>
  </si>
  <si>
    <t>M 2.2.2.1</t>
  </si>
  <si>
    <t>M 2.2.2.2</t>
  </si>
  <si>
    <t>M 2.2.2.3</t>
  </si>
  <si>
    <t>Տվյալ տարվա ընթացքում աշխատանքի տեղավորված 18-29 տարեկան գործազուրկի կարգավիճակ ունեցող երիտասարդների թվաքանակ (մարդ)</t>
  </si>
  <si>
    <t>18-29 տարեկան գործազուրկի կարգավիճակ ունեցող երիտասարդների ընդհանուր թվաքանակ (մարդ)</t>
  </si>
  <si>
    <t>SpG 3.1</t>
  </si>
  <si>
    <t>Միջին տարիքի (30-40) չաշխատող կանանց աշխատաշուկայում ներգրավում և վերաինտեգրում՝ վարքագծային մոդելի փոփոխության և մրցակցային հմտությունների զարգացման միջոցով</t>
  </si>
  <si>
    <t>P 3.1.1</t>
  </si>
  <si>
    <t>Միջին տարիքի (30-40) չաշխատող կանանց համար աշխատանքի վրա հիմնված մասնագիտական ​​կրթության ոչ ֆորմալ, ճկուն և կարճաժամկետ ձևաչափերի զարգացում</t>
  </si>
  <si>
    <t>3.1.1.i1</t>
  </si>
  <si>
    <t>M 3.1.1.1</t>
  </si>
  <si>
    <t>3.1.1.1.i1</t>
  </si>
  <si>
    <t>M 3.1.1.2</t>
  </si>
  <si>
    <t>3.1.1.2.i1</t>
  </si>
  <si>
    <t>P 3.1.2</t>
  </si>
  <si>
    <t>3.1.2.i1</t>
  </si>
  <si>
    <t>3.1.2.i2</t>
  </si>
  <si>
    <t>3.1.2.i3</t>
  </si>
  <si>
    <t>M 3.1.2.1</t>
  </si>
  <si>
    <t>3.1.2.1.i1</t>
  </si>
  <si>
    <t>M 3.1.2.2</t>
  </si>
  <si>
    <t>3.1.2.2.i1</t>
  </si>
  <si>
    <t>M 3.1.2.3</t>
  </si>
  <si>
    <t>3.1.2.3.i1</t>
  </si>
  <si>
    <t>Մեկ դրամաշնորհային մրցույթի մասնակիցների միջին թիվը</t>
  </si>
  <si>
    <t>3.1.2.3.i2</t>
  </si>
  <si>
    <t>SpG 3.2</t>
  </si>
  <si>
    <t>Բիզնեսի համար խթանների ստեղծում՝ նպաստելու չաշխատող կանանց զբաղվածության աճին</t>
  </si>
  <si>
    <t>P 3.2.1</t>
  </si>
  <si>
    <t>Երեխայի խնամքի համակարգի զարգացում և պետության ու մասնավորի համագործակցության մոդելների ներդրում</t>
  </si>
  <si>
    <t>3.2.1.i1</t>
  </si>
  <si>
    <t>ՀՀ-ում 30-39 տարեկան տղամարդկանց և կանանց զբաղվածության մակարդակների տարբերություն (տոկոսային կետ)</t>
  </si>
  <si>
    <t>Տղամարդկանց զբաղվածության մակարդակի և կանանց զբաղվածության մակարդակի տարբերությունը (ՀՀ, 30-39 տարեկան)</t>
  </si>
  <si>
    <t>Զբաղվածներ - տղա - 30-34</t>
  </si>
  <si>
    <t>Զբաղվածներ - տղա - 35-39</t>
  </si>
  <si>
    <t>Զբաղվածներ - տղա - 30-39</t>
  </si>
  <si>
    <t>Աշխատանքային ռեսուրսներ - տղա - 30-34</t>
  </si>
  <si>
    <t>Աշխատանքային ռեսուրսներ - տղա - 35-39</t>
  </si>
  <si>
    <t>Աշխատանքային ռեսուրսներ - տղա - 30-39</t>
  </si>
  <si>
    <t>Զբաղվածներ - կին - 30-34</t>
  </si>
  <si>
    <t>Զբաղվածներ - կին - 35-39</t>
  </si>
  <si>
    <t>Զբաղվածներ - կին - 30-39</t>
  </si>
  <si>
    <t>Աշխատանքային ռեսուրսներ - կին - 30-34</t>
  </si>
  <si>
    <t>Աշխատանքային ռեսուրսներ - կին - 35-39</t>
  </si>
  <si>
    <t>Աշխատանքային ռեսուրսներ - կին - 30-39</t>
  </si>
  <si>
    <t>Զբաղվածության մակարդակ - տղա - 30-39</t>
  </si>
  <si>
    <t>Զբաղվածության մակարդակ - կին - 30-39</t>
  </si>
  <si>
    <t>M 3.2.1.2</t>
  </si>
  <si>
    <t>3.2.1.2.i1</t>
  </si>
  <si>
    <t>Ստեղծված երեխայի խնամքի ցերեկային կենտրոնների թվաքանակը</t>
  </si>
  <si>
    <t>P 3.2.2</t>
  </si>
  <si>
    <t>3.2.2.i1</t>
  </si>
  <si>
    <t>ՀՀ-ում 30-39 տարեկան կին բնակչության զբաղվածության մակարդակ (%)</t>
  </si>
  <si>
    <t>M 3.2.2.1</t>
  </si>
  <si>
    <t>3.2.2.1.i1</t>
  </si>
  <si>
    <t>ՀՀ-ում գործազուրկի կարգավիճակ ունեցող 30-40 տարեկան կանանց թվում աշխատանքի տեղավորված անձանց մասնաբաժին, %</t>
  </si>
  <si>
    <t>Տվյալ տարվա ընթացքում աշխատանքի տեղավորված 30-40 տարեկան գործազուրկի կարգավիճակ ունեցող կանանց թվաքանակի հարաբերությունը 30-40 տարեկան գործազուրկի կարգավիճակ ունեցող կանանց ընդհանուր թվաքանակին (ՀՀ)</t>
  </si>
  <si>
    <t>Տվյալ տարվա ընթացքում աշխատանքի տեղավորված 30-40 տարեկան գործազուրկի կարգավիճակ ունեցող կանանց թվաքանակ (մարդ)</t>
  </si>
  <si>
    <t>30-40 տարեկան գործազուրկի կարգավիճակ ունեցող կանանց ընդհանուր թվաքանակ (մարդ)</t>
  </si>
  <si>
    <t>M 3.2.2.2</t>
  </si>
  <si>
    <t>3.2.2.2.i1</t>
  </si>
  <si>
    <t>M 3.2.2.3</t>
  </si>
  <si>
    <t>3.2.2.3.i1</t>
  </si>
  <si>
    <t>SpG 3.3</t>
  </si>
  <si>
    <t>Աջակցել կանանց ձեռներեցության զարգացմանը</t>
  </si>
  <si>
    <t>P 3.3.1</t>
  </si>
  <si>
    <t>Կին ձեռներեցների համար բիզնեսի զարգացման (ինկուբացիոն, աքսելերացիոն) ծրագրերի և ֆինանսավորման ու այլ անհրաժեշտ ռեսուրսների հասանելիության ընդլայնում և ապահովում</t>
  </si>
  <si>
    <t>3.3.1.i1</t>
  </si>
  <si>
    <t>M 3.3.1.1</t>
  </si>
  <si>
    <t>3.3.1.1.i1</t>
  </si>
  <si>
    <t>Օգտվողների տարեկան թվաքանակը</t>
  </si>
  <si>
    <t>M 3.3.1.2</t>
  </si>
  <si>
    <t>3.3.1.2.i1</t>
  </si>
  <si>
    <t>M 3.3.1.3</t>
  </si>
  <si>
    <t>3.3.1.3.i1</t>
  </si>
  <si>
    <t>M 3.3.1.6</t>
  </si>
  <si>
    <t>3.3.1.6.i1</t>
  </si>
  <si>
    <t xml:space="preserve"> Դրամաշնորհային ծրագրի մասնակիցների թվաքանակը</t>
  </si>
  <si>
    <t>SpG 4.1</t>
  </si>
  <si>
    <t xml:space="preserve">Ընտանեկան և սոցիալական նպաստի համակարգի վերափոխման արդյունքում նպաստ ստացող առանց սահմանափակումների աշխատունակ շահառուներին աշխատաշուկայում ներգրավում՝ նրանց հմտությունների զարգացման միջոցով </t>
  </si>
  <si>
    <t>P 4.1.1</t>
  </si>
  <si>
    <t>4.1.1.i1</t>
  </si>
  <si>
    <t>4.1.1.i2</t>
  </si>
  <si>
    <t>M 4.1.1.1</t>
  </si>
  <si>
    <t>4.1.1.1.i1</t>
  </si>
  <si>
    <t>M 4.1.1.2</t>
  </si>
  <si>
    <t>4.1.1.2.i1</t>
  </si>
  <si>
    <t>M 4.1.1.3</t>
  </si>
  <si>
    <t>4.1.1.3.i1</t>
  </si>
  <si>
    <t>4.1.1.3.i2</t>
  </si>
  <si>
    <t>SpG 4.2</t>
  </si>
  <si>
    <t>P 4.2.1</t>
  </si>
  <si>
    <t>Հանրային աշխատանքների ինստիտուտի զարգացում, այդ թվում՝ ինչպես պետական, այնպես էլ համայնքային մակարդակով` հանրային աշխատանքների կառավարման և ֆինանսավորման մոդելի, ինչպես նաև վերլուծական բազայի հիման վրա հանրային աշխատանքների ցանկի ձևավորման ու շարունակական թարմացման միջոցով</t>
  </si>
  <si>
    <t>4.2.1.i1</t>
  </si>
  <si>
    <t>Հաշվետվություն ՀՀ պետական բյուջեի ելքային ծրագրերի և միջոցառումների գծով արդյունքային ցուցանիշների կատարման վերաբերյալ, ՀՀ ֆինանսների նախարարություն</t>
  </si>
  <si>
    <t>ՀՀ պետական բյուջեի՝ վարձատրվող հասարակական աշխատանքների իրականացման ծախսերի և ընտանիքի կենսամակարդակի բարձրացմանն ուղղված նպաստների հարաբերությունը (ՀՀ)</t>
  </si>
  <si>
    <t>M 4.2.1.1</t>
  </si>
  <si>
    <t>4.2.1.1.i1</t>
  </si>
  <si>
    <t>M 4.2.1.2</t>
  </si>
  <si>
    <t>Հանրային աշխատանքների ցանկի առկայություն</t>
  </si>
  <si>
    <t>4.2.1.3.i1</t>
  </si>
  <si>
    <t>Հանրային աշխատանքներում ներգրավված աշխատողների թվաքանակը</t>
  </si>
  <si>
    <t>SpG 5.1</t>
  </si>
  <si>
    <t>Համապարփակ թվայնացված տեղեկատվական-վերլուծական գործիքակազմի և ​​մեխանիզմների զարգացում, որը կապող օղակ կդառնա աշխատաշուկայի պահանջարկի ու առաջարկի միջև</t>
  </si>
  <si>
    <t>P 5.1.1</t>
  </si>
  <si>
    <t>Աշխատաշուկայի տեղեկատվական համակարգի կառավարում և արդիականացում՝ հիմնված անհրաժեշտ տվյալների շարունակական մշտադիտարկման, հավաքագրման, վերլուծության ու կիրառման և համակարգի կարողությունների զարգացման վրա</t>
  </si>
  <si>
    <t>5.1.1.i1</t>
  </si>
  <si>
    <t>Ստեղծված հաշվետվության համակարգ</t>
  </si>
  <si>
    <t>M 5.1.1.1</t>
  </si>
  <si>
    <t>Օրենսդրական փոփոխությունների իրականացում՝ աշխատաշուկայի տեղեկատվական համակարգի ստեղծման և տվյալների հավաքագրման համար</t>
  </si>
  <si>
    <t>5.1.1.1.i1</t>
  </si>
  <si>
    <t>M 5.1.1.2</t>
  </si>
  <si>
    <t>5.1.1.2.i1</t>
  </si>
  <si>
    <t>Հետազոտությունների և վերլուծությունների թվաքանակը</t>
  </si>
  <si>
    <t>M 5.1.1.3</t>
  </si>
  <si>
    <t>Կրթության, հարկային և սոցիալական ոլորտների վարչական ռեեստրների համակցում, որը հնարավորություն կտա դիտարկել սովորողների ուսումնառության և կարիերայի հետագիծը</t>
  </si>
  <si>
    <t>5.1.1.3.i1</t>
  </si>
  <si>
    <t>Համակցված տվյալների բազայի առկայություն</t>
  </si>
  <si>
    <t>M 5.1.1.4</t>
  </si>
  <si>
    <t>SpG 5.2</t>
  </si>
  <si>
    <t>Զբաղվածության ոլորտում սոցիալական ծառայությունների բարեփոխում և անցում դեպքի վրա հիմնված մոտեցմանը
(ավելի մանրամասն՝ Ինտեգրված սոցիալական ծառայությունների զարգացման ռազմավարությունում)</t>
  </si>
  <si>
    <t>SpG 5.3</t>
  </si>
  <si>
    <t>Ապահովել աշխատանքային իրավունքների իրացման հնարավորություններ և արժանապատիվ աշխատանքի պայմաններ</t>
  </si>
  <si>
    <t>P 5.3.1</t>
  </si>
  <si>
    <t>Աշխատանքային հարաբերությունների կարգավորման համակարգի կատարելագործում և սոցիալական գործընկերության խթանում</t>
  </si>
  <si>
    <t>5.3.1.i1</t>
  </si>
  <si>
    <t>Աշխատանքային իրավունքի խախտման և աշխատանքային հարաբերություններին առնչվող արտադատական կարգով լուծված վեճերի հարաբերակցությունը դատական կարգով լուծված վեճերին</t>
  </si>
  <si>
    <t>M 5.3.1.1</t>
  </si>
  <si>
    <t>M 5.3.1.2</t>
  </si>
  <si>
    <t>5.3.1.1.i1</t>
  </si>
  <si>
    <t>Հարցվածների մասնաբաժինը, որը լավատեղյակ է իր աշխատանքային իրավունքներից և պարտականություններից (հարցման շրջանակում)</t>
  </si>
  <si>
    <t>M 5.3.1.3</t>
  </si>
  <si>
    <t>ՀՀ օրենսդրաիրավական դաշտի շարունակական բարելավում՝ մասնավորապես, ներդնելով ՀՀ-ԵՄ համապարփակ և ընդլայնված գործընկերության  համաձայնագրով (ՀԸԳՀ) ՀՀ ստանձնած պարտավորություններից բխող՝ աշխատանքային իրավունքների իրացման երաշխիքները</t>
  </si>
  <si>
    <t>5.3.1.2.i1</t>
  </si>
  <si>
    <t>M 5.3.1.4</t>
  </si>
  <si>
    <t>Առողջապահական և աշխատանքի տեսչական մարմնի դերի ու կարողությունների ամրապնդում</t>
  </si>
  <si>
    <t>5.3.1.3.i1</t>
  </si>
  <si>
    <t>Կարողությունների զարգացման համաթիվը՝ հաշվարկված հարցման արդյունքների հիման վրա</t>
  </si>
  <si>
    <t>M 5.3.1.5</t>
  </si>
  <si>
    <t>Սոցիալական գործընկերության ամրապնդման մեխանիզմների վերանայում, արհմիությունների դերի բարձրացման նպատակով՝ աշխատողների ներկայացուցչական մարմիններում ընտրված աշխատողների պաշտպանվածությանը վերաբերող կարգավորումների մշակում</t>
  </si>
  <si>
    <t>5.3.1.4.i1</t>
  </si>
  <si>
    <t>Կարգավորումների առկայություն</t>
  </si>
  <si>
    <t>M 5.3.1.6</t>
  </si>
  <si>
    <t>Աշխատանքային իրավունքների վերաբերյալ հանրային իրազեկվածության բարձրացում մեդիա ու սոցիալական հոլովակների, կրթական հաստատություններում հանդիպում-քննարկումների և այլ միջոցով</t>
  </si>
  <si>
    <t>5.3.1.5.i1</t>
  </si>
  <si>
    <t>Գործազրկության ապահովագրության համակարգի մշակում</t>
  </si>
  <si>
    <t>5.3.1.6.i1</t>
  </si>
  <si>
    <t>Համակարգի ներդրում</t>
  </si>
  <si>
    <t>SpG 5.4</t>
  </si>
  <si>
    <t>Զբաղվածության բնագավառում ապացույցների և տվյալների վրա հիմնված պետական քաղաքականության մշակման մեխանիզմների շարունակական զարգացում, որը հիմնված է տարբեր շահագրգիռ կողմերի և որոշում կայացնողների արդյունավետ համագործակցության վրա</t>
  </si>
  <si>
    <t>P 5.4.1</t>
  </si>
  <si>
    <t>Զբաղվածության ոլորտում պետական քաղաքականության մշակման մեխանիզմների շարունակական զարգացում՝ հիմնված համապարփակ վերլուծական և հետազոտական ​​աշխատանքի, մեծ տվյալների հավաքածուների ուսումնասիրության, ապացույցների բազայի, նորարարության և ժամանակակից մոտեցումների վրա</t>
  </si>
  <si>
    <t>M 5.4.1.1</t>
  </si>
  <si>
    <t>Զբաղմունքների դասակարգչի մշակում</t>
  </si>
  <si>
    <t>5.4.1.1.i1</t>
  </si>
  <si>
    <t>Մշակված և թարմացված զբաղմունքների դասակարգչի առկայություն, որը համապատասխանում է լավագույն միջազգային չափանիշներին և աշխատաշուկայի իրողություններին</t>
  </si>
  <si>
    <t>M 5.4.1.2</t>
  </si>
  <si>
    <t>Դասակարգչի պարտադիր կիրառում ՀՀ-ում գրանցված բոլոր կազմակերպությունների համար</t>
  </si>
  <si>
    <t>5.4.1.2.i1</t>
  </si>
  <si>
    <t>M 5.4.1.3</t>
  </si>
  <si>
    <t>Հարկային զեկույցում աշխատողի աշխատանքային գործունեության վայրի նույնականացումն ապահովող մեխանիզմի ավելացում</t>
  </si>
  <si>
    <t>5.4.1.3.i1</t>
  </si>
  <si>
    <t>Աշխատողների աշխատանքային գործունեության վայրի վերաբերյալ թարմացվող տվյալների բազայի առկայություն</t>
  </si>
  <si>
    <t>M 5.4.1.4</t>
  </si>
  <si>
    <t>Հարկային զեկույցում կազմակերպության գործունեության վայրի նույնականացումն ապահովող մեխանիզմի ավելացում</t>
  </si>
  <si>
    <t>5.4.1.4.i1</t>
  </si>
  <si>
    <t>Կազմակերպության գործունեության վայրի վերաբերյալ թարմացվող տվյալների բազայի առկայություն</t>
  </si>
  <si>
    <t>P 5.4.2</t>
  </si>
  <si>
    <t>Կառավարության տարբեր գերատեսչությունների և այլ շահագրգիռ որոշումներ կայացնողների միջև արդյունավետ համագործակցության հարթակի ստեղծում՝ զբաղվածության քաղաքականության մշակման համապարփակ մոտեցումներ ձևավորելու համար</t>
  </si>
  <si>
    <t>5.4.2.i1</t>
  </si>
  <si>
    <t>M 5.4.2.1</t>
  </si>
  <si>
    <t>5.4.2.1.i1</t>
  </si>
  <si>
    <t>Աշխատանքային խմբի եռամսյակային հանդիպումներ</t>
  </si>
  <si>
    <t>M 5.4.2.2</t>
  </si>
  <si>
    <t>Ձևավորված աշխատանքային խմբի եռամսյակային հանդիպումների կազմակերպում՝ արդյունքների մասին զեկույցի մշակմամբ</t>
  </si>
  <si>
    <t>5.4.2.2.i1</t>
  </si>
  <si>
    <t>Արդյունքների մասին զեկույցի առկայություն</t>
  </si>
  <si>
    <t>P 5.4.3</t>
  </si>
  <si>
    <t>5.4.3.i1</t>
  </si>
  <si>
    <t>Աշխատանքի դերի ու միջին մասնագիտական կրթության գրավչության գնահատման տարեկան հետազոտության արդյունքները, որոնք ուսումնասիրում են պետական աջակցության ծրագրերի վերաբերյալ բնակչության ընկալումներն ու իրազեկվածությունը</t>
  </si>
  <si>
    <t>M 5.4.3.1</t>
  </si>
  <si>
    <t>Երկարաժամկետ լայնածավալ համապետական քարոզչական արշավի իրականացում՝ աշխատանքի դերը ու միջին մասնագիտական կրթության գրավչությունը բարձրացնելու, ինչպես նաև ռազմավարության տեսլականը և միջոցառումները խթանելու նպատակով (այս միջոցառման շրջանակներում կարող են նաև կազմակերպվել դրամաշնորհներ մարքեթինգային և հաղորդակցման ընկերությունների համար, որոնք խթանում են ռազմավարության նպատակները)</t>
  </si>
  <si>
    <t>M 5.4.3.2</t>
  </si>
  <si>
    <t>P 5.4.4</t>
  </si>
  <si>
    <t>Կարիերայի աջակցության ազգային համակարգի զարգացում</t>
  </si>
  <si>
    <t>5.4.4.i1</t>
  </si>
  <si>
    <t>M 5.4.4.1</t>
  </si>
  <si>
    <t>Կարիերայի ուղղորդման չափորոշիչների/ստանդարտների մշակում և ճանաչում</t>
  </si>
  <si>
    <t>5.4.4.1.i1</t>
  </si>
  <si>
    <t>M 5.4.4.2</t>
  </si>
  <si>
    <t>Կարիերայի մասնագետների որակավորման արդյունքների ճանաչում</t>
  </si>
  <si>
    <t>5.4.4.2.i1</t>
  </si>
  <si>
    <t xml:space="preserve">Մշակված և հաստատված է կարիերայի մասնագետների գիտելիքների, կարողությունների, հմտությունների շրջանակը, որը ներդրված է ֆորմալ և ոչ ֆորմալ կրթական համակարգում </t>
  </si>
  <si>
    <t>M 5.4.4.3</t>
  </si>
  <si>
    <t>5.4.4.3.i1</t>
  </si>
  <si>
    <t>P 5.4.5</t>
  </si>
  <si>
    <t>Քաղաքականության մշակման և իրականացման գործընթացի որակի անկախ և շարունակական վերահսկողության իրականացում</t>
  </si>
  <si>
    <t>5.4.5.i1</t>
  </si>
  <si>
    <t>M 5.4.5.1</t>
  </si>
  <si>
    <t>Տարեկան գնահատման իրականացում՝ ռազմավարության իրականացման մակարդակը մշտադիտարկելու նպատակով</t>
  </si>
  <si>
    <t>5.4.5.1.i1</t>
  </si>
  <si>
    <t>Տարեկան գնահատման զեկույցի առկայություն</t>
  </si>
  <si>
    <t>M 5.4.5.2</t>
  </si>
  <si>
    <t>5.4.5.2.i1</t>
  </si>
  <si>
    <t>Ռազմավարության կատարման տարեկան հաշվետվություն</t>
  </si>
  <si>
    <t>Ընդամենը</t>
  </si>
  <si>
    <t>Հաշվարկը հաշվի է առնում հետևյալ բաղադրիչները՝ կազմակերպչական ծախսեր (մեկ մասնակցի համար 20 հազար դրամ), ինչպես նաև մասնագիտական ​​ոլորտների քանակը (որը համապատասխանում է պետական ​​արդյունաբերական գոտիների թվին), 500 հազար դրամ դրամաշնորհը եւ 4% գնաճը:</t>
  </si>
  <si>
    <t>Հաշվարկը հաշվի է առնում հետևյալ բաղադրիչները՝ ուսանողների թիվը (որը փոխկապակցված է մասնագիտական ​​ոլորտների թվի հետ՝ համաձայն պետական ​​արդյունաբերական գոտիների թվի), եվրոպական առաջատար համալսարանում ուսման կես տարվա արժեքը (25 հազար դոլար), ինչպես նաև տարեկան 4% գնաճ:</t>
  </si>
  <si>
    <t>Հաշվարկը հիմնված է տարեկան դրամաշնորհային ծրագրերի քանակի և ծրագրին հատկացվող միջին բյուջեի (որը կազմում է մոտավորացված 50 մլն ՀՀ դրամ):</t>
  </si>
  <si>
    <t>Հաշվարկը հիմնված է տարեկան դրամաշնորհային ծրագրերի քանակի և ծրագրին հատկացվող միջին բյուջեի (որը կազմում է մոտավորացված 20 մլն ՀՀ դրամ):</t>
  </si>
  <si>
    <t>Հաշվարկը հիմնված է շահառուների տարեկան թվի վրա, Coursera հարթակում մասնագիտական ​​դասընթացի միջին արժեքի (որը կազմում է մոտավորացված 60 հ. ՀՀ դրամ) և տարեկան 4% գնաճի վրա:</t>
  </si>
  <si>
    <t>Աշխատանքային պրակտիկայում ներգրավված 18-29 տարեկան երիտասարդների և զբաղված 20-29 տարեկան երիտասարդների հարաբերակցությունը</t>
  </si>
  <si>
    <t>Հաշվարկի հիմքում ընկած է այն փաստը, որ այս ծրագրի շրջանակներում առաջին անգամ աշխատաշուկա մուտք գործած 18-29 տարեկան երիտասարդների 70%-ը պրակտիկա է անցել։ Հաշվարկը հաշվի է առնում պրակտիկա անցած անձանց թիվը, ինչպես նաև նվազեցումից հետո նվազագույն աշխատավարձը (75 հազար դրամ հանած 20%, տե՛ս միջոցառում 2.2.1.4):</t>
  </si>
  <si>
    <t>Հաշվարկը հաշվի է առնում ճկուն աշխատանքային ձևաչափի անցած աշխատողների թիվը, միջին տարեկան աշխատավարձը, ինչպես նաև եկամտահարկի վերադարձը։</t>
  </si>
  <si>
    <t>Ներառված է գործող կրթական ծրագրում</t>
  </si>
  <si>
    <t>Հաշվարկը հաշվի է առնում հետևյալ բաղադրիչները՝ առաջին անգամ աշխատաշուկա մուտք գործած երիտասարդների թիվը, միջին տարեկան աշխատավարձը, եկամտահարկի 50% վերադարձը։</t>
  </si>
  <si>
    <t xml:space="preserve">Շահառուների թվի աճն ուղիղ համեմատական ​​է թիրախային խմբում զբաղվածության աճին, ինչպես նաև միջին աշխատավարձի աճին։ Հաշվարկը ներառում է տարեկան 100 շահառուի ծախսեր, այդ թվում՝ խորհրդատվական ծառայություններ՝ մեկ անձի համար 400 հազար դրամ, վիզա ստանալուն օգնություն՝ մեկ անձի համար՝ 400 հազար դրամ, կեցության ծախսեր՝ մեկ անձի համար ամսական 600 հազար դրամ, ինչպես նաև 4% գնաճը։ </t>
  </si>
  <si>
    <t>Հաշվարկը հիմնված է մենթորական հարթակի (այդ թվում՝ առցանց) ստեղծման գնահատված ծախսերի վրա՝ հաշվի առնելով նմանատիպ նախագծերի միջին շուկայական արժեքը՝ $125 հազար (ՀՀ դրամին համարժեք):</t>
  </si>
  <si>
    <t>Միջոցառման իրականացման համար տեխնիկական աջակցության խորհրդատվության միջին արժեքը:</t>
  </si>
  <si>
    <t>Հաշվարկը կատարվել է՝ հիմնվելով պրակտիկա ավարտած ու աշխատանքի ընդունվածների և տվյալ թիրախային խմբի զբաղվածության մակարդակի հարաբերակցության վրա: Ծախսերը ներկայացնում են մասնավոր հատվածի ծախսերը (ոչ պետական ​​բյուջեի) և հաշվարկվում են որպես 6 ամսվա համար 20%-ով նվազեցված նվազագույն աշխատավարձի կեսը(ստորև նշված միջոցառումների համաձայն)՝ բազմապատկած շահառուների թվով։</t>
  </si>
  <si>
    <t>Շահառուների թիվը հաշվարկվել է՝ ելնելով կանանց շրջանում աշխատուժի թերօգտագործման, զբաղվածության մակարդակի տարեկան փոփոխությունից, ինչպես նաև ուղիղ համեմատական ​​է այս ծրագրի 2025 թվականի բազային տարվա համեմատ զբաղվածության աճի տեմպերին: Հաշվարկը հիմնված է շահառուների տարեկան թվի վրա, Coursera հարթակում մասնագիտական ​​դասընթացի միջին արժեքի (որը կազմում է մոտավորացված 60 հ. ՀՀ դրամ) և տարեկան 4% գնաճի վրա:</t>
  </si>
  <si>
    <t>Հաշվարկը հիմնված է շահառուների տարեկան թվի վրա (ելնելով կանանց շրջանում աշխատուժի թերօգտագործման փոփոխությունից), մասնագիտական ​​վերապատրաստման ծրագրի միջին արժեքի (որը կազմում է մոտավորացված 100 հ. ՀՀ դրամ) և տարեկան 4% գնաճի վրա:</t>
  </si>
  <si>
    <t>Շահառուների թիվը հաշվարկվել է՝ ելնելով տվյալ թիրախային խմբի զբաղվածության աճի տեմպերից: Հաշվարկը հաշվի է առել այս թիրախային խմբի միջին աշխատավարձի մակարդակը, ինչպես նաև եկամտահարկի վերադարձի մասնաբաժինը:</t>
  </si>
  <si>
    <t>Շահառուների թիվը հաշվարկվել է՝ ելնելով արդյունաբերական գոտիների բոլոր աշխատողների շրջանում կանանց համամասնությունից, ինչպես նաև տվյալ թիրախային խմբի աշխատանքային ռեսուրսների թերօգտագործման հարաբերակցությունից տվյալ թիրախային խմբի աշխատանքային ռեսուրսների ընդհանուր թվին: Հաշվարկը հաշվի է առել այս թիրախային խմբի միջին աշխատավարձը և փոխհատուցման կշիռը։</t>
  </si>
  <si>
    <t>Հաշվարկի մեջ օգտագործվել է շահառուների թիվը, լիզինգի պայմանագրի գումարը մեկ շահառուի համար 10 մլն դրամի չափով և տոկոսների վերադարձը։</t>
  </si>
  <si>
    <t xml:space="preserve">Հաշվարկում հաշվի է առնվել 3 լավագույն կին ձեռներեցների համար 5 մլն դրամի դրամաշնորհի տրամադրում </t>
  </si>
  <si>
    <t>Վերլուծությունների քանակը հաշվարկվում է՝ հաշվի առնելով աշխատաշուկայի աճը և արդյունաբերական գոտիների ստեղծումը։ Հաշվարկը հաշվի է առնում նմանատիպ վերլուծության միջին արժեքը՝ 15 մլն դրամ և տարեկան 4% գնաճ։</t>
  </si>
  <si>
    <t>Տարեկան հետազոտության միջին շուկայական արժեքը</t>
  </si>
  <si>
    <t>Մշակված և թարմացված զբաղմունքների դասակարգչի առկայություն</t>
  </si>
  <si>
    <t>Մասնավոր հատվածի հետ քննարկումների և վերապատրաստման ծախսերը</t>
  </si>
  <si>
    <t>Միջոցառման իրականացման համար տեխնիկական աջակցության խորհրդատվության միջին արժեքը (ներառյալ ինտերակտիվ թվային հարթակի ստեղծումը)</t>
  </si>
  <si>
    <t>կհաշվարկվի հարցման անցկացումից հետո ռազմավարության հաջորդ թարմացման ժամանակ</t>
  </si>
  <si>
    <t>Ռազմավարության իրականացված միջոցառումների մասնաբաժինը (ֆինանսական կատարողականի տեսանկյունից)</t>
  </si>
  <si>
    <t>ԱՍՀՆ</t>
  </si>
  <si>
    <t>Հաշվի առնելով 2027 թվականին նպաստների վճարումների չեղարկումը որոշ շահառուների համար (հաշվի է առնվում նման շահառուների մեկ երրորդը): Ցուցանիշի փոփոխությունը հակադարձ համեմատական ​​է զբաղվածության փոփոխությանը:</t>
  </si>
  <si>
    <t>ԿԳՄՍՆ</t>
  </si>
  <si>
    <t>ՏԿԵՆ</t>
  </si>
  <si>
    <t>ԷՆ</t>
  </si>
  <si>
    <t>ՖՆ</t>
  </si>
  <si>
    <t>ՊՆ, ԱՍՀՆ</t>
  </si>
  <si>
    <t>StG1</t>
  </si>
  <si>
    <t>Դասակարգիչ</t>
  </si>
  <si>
    <t>Փոփոխական</t>
  </si>
  <si>
    <t>Արժեք</t>
  </si>
  <si>
    <t>խորհրդատվական ծառայությունների միջին արժեք</t>
  </si>
  <si>
    <t>մեկ ուսումնական հաստատության վերանորոգման համար կապիտալ ներդրումների միջին արժեքը</t>
  </si>
  <si>
    <t>մեկ հաստատության ուսուցիչների միջին թիվը</t>
  </si>
  <si>
    <t>մեկ մասնագետի մասնագիտական ​​վերապատրաստման ծախսերի միջին արժեքը</t>
  </si>
  <si>
    <t>դրամաշնորհներին հատկացվող միջին բյուջե</t>
  </si>
  <si>
    <t>Coursera հարթակում մասնագիտական ​​դասընթացի միջին արժեք</t>
  </si>
  <si>
    <t>մեկ ավտոբուսի արժեք</t>
  </si>
  <si>
    <t xml:space="preserve">1 ուղևորի փոխադրման միջին արժեքը </t>
  </si>
  <si>
    <t>մասնագիտական ​​վերապատրաստման ծրագրի միջին արժեք</t>
  </si>
  <si>
    <t>մեկ մասնակցի մասնակցության միջին արժեք</t>
  </si>
  <si>
    <t>խորհրդատվական ծառայությունների աութսորսինգի միջին շուկայական արժեք</t>
  </si>
  <si>
    <t>-</t>
  </si>
  <si>
    <t>արդյունաբերական գոտու օպերատորի համար ծառայությունների արժեք</t>
  </si>
  <si>
    <t>1 արդյունաբերական գոտու միջին արժեք</t>
  </si>
  <si>
    <t>2 արդյունաբերական գոտու միջին արժեք</t>
  </si>
  <si>
    <t>մեկ ստորագրված վարկային պայմանագրի համար խորհրդատուին հաջողության վճարի գնահատված միջին մակարդակ</t>
  </si>
  <si>
    <t>տեխնիկական աջակցության խորհրդատվության միջին արժեք</t>
  </si>
  <si>
    <t>տեխնիկական աջակցության խորհրդատվության միջին արժեքը</t>
  </si>
  <si>
    <t>StG2</t>
  </si>
  <si>
    <t>մեկ ուսուցչի աշխատավարձ</t>
  </si>
  <si>
    <t>կազմակերպչական ծախսեր մեկ մասնակցի համար</t>
  </si>
  <si>
    <t xml:space="preserve">խորհրդատվական ծառայություններ՝ մեկ անձի համար </t>
  </si>
  <si>
    <t>վիզա ստանալուն օգնություն՝ մեկ անձի համար</t>
  </si>
  <si>
    <t xml:space="preserve">կեցության ծախսեր՝ մեկ անձի համար ամսական </t>
  </si>
  <si>
    <t>եվրոպական առաջատար համալսարանում ուսման կես տարվա արժեքը, դոլար</t>
  </si>
  <si>
    <t>ծրագրին հատկացվող միջին բյուջե</t>
  </si>
  <si>
    <t>Աշխատանքի տեղավորման գործակալություններին հավելավճար</t>
  </si>
  <si>
    <t>վերապատրաստման ծրագրի միջին արժեք</t>
  </si>
  <si>
    <t>Պարգև</t>
  </si>
  <si>
    <t xml:space="preserve">ծրագրի կազմակերպման ծախսերը՝ մեկ մասնակցի համար </t>
  </si>
  <si>
    <t>բուհում մեկ ուսանողի ուսման 1 տարվա միջին արժեք</t>
  </si>
  <si>
    <t>StG3</t>
  </si>
  <si>
    <t xml:space="preserve"> ծրագրին հատկացվող միջին բյուջե</t>
  </si>
  <si>
    <t>մեկ շահառուի վերապատրաստման արժեք</t>
  </si>
  <si>
    <t>StG4</t>
  </si>
  <si>
    <t>StG5</t>
  </si>
  <si>
    <t>վերլուծության միջին արժեք</t>
  </si>
  <si>
    <t>M 5.3.1.7</t>
  </si>
  <si>
    <t>PR գործակալությունների պայմանագրերի միջին արժեք</t>
  </si>
  <si>
    <t>Ծախսերը ըստ ռազմավարական նպատակների</t>
  </si>
  <si>
    <t>Զբաղվածության ռազմավարության նախատեսված ֆինանսավորման կառուցվածքը՝ ըստ ռազմավարության թիրախային խմբերի</t>
  </si>
  <si>
    <t xml:space="preserve">Մարզային քաղաքները ներառող համայնքների աշխատանքային տարիքի քաղաքացիներ </t>
  </si>
  <si>
    <t>18-29 տարեկան չսովորող, չաշխատող երիտասարդներ</t>
  </si>
  <si>
    <t>Միջին տարիքի (30-40) չաշխատող կանայք</t>
  </si>
  <si>
    <t>Ընտանեկան և սոցիալական նպաստի առանց սահմանափակումների աշխատունակ շահառուներ</t>
  </si>
  <si>
    <t>Համակարգի փոխակերպում</t>
  </si>
  <si>
    <t>Զբաղվածության ռազմավարության նախատեսված ֆինանսավորման կառուցվածքը՝ ըստ պատասխանատու մարմնի</t>
  </si>
  <si>
    <t>Զբաղվածության ռազմավարության նախատեսված ֆինանսավորման կառուցվածքը՝ ըստ հիմնական ուղղությունների</t>
  </si>
  <si>
    <t>Օրենսդրական փոփոխություններ կամ քաղաքականության մշակում</t>
  </si>
  <si>
    <t>PR</t>
  </si>
  <si>
    <t>Համակարգային փոփոխություններ</t>
  </si>
  <si>
    <t>Հարկային խթաններ կամ մեխանիզմներ</t>
  </si>
  <si>
    <t>Ֆինանսական աջակցություն (ներառյալ վարկային ծրագրերի սուբսիդավորումը)</t>
  </si>
  <si>
    <t>Կրթական ծրագրեր</t>
  </si>
  <si>
    <t>Կապիտալ ներդրումներ</t>
  </si>
  <si>
    <t>ՑՈՒՑԱՆԻՇՆԵՐ</t>
  </si>
  <si>
    <t>Միջին եկամտի մակարդակը ոչ գյուղատնտեսական ոլորտներում, դրամ</t>
  </si>
  <si>
    <t>ՀՀ տղամարդ բնակչության զբաղվածության մակարդակ, %</t>
  </si>
  <si>
    <t>OECD երկրներում 15-64տ. զբաղված կանանց մասնաբաժինը նույն խմբի աշխատանքային ռեսուրսների նկատմամբ</t>
  </si>
  <si>
    <t>ՀՆԱ, դրամ 2024թ. Հաշվարկը կատարվել է 8% ՀՆԱ իրական աճ + 4% գնաճ</t>
  </si>
  <si>
    <t>ԱՍՀՆ ծախսեր/ՀՆԱ</t>
  </si>
  <si>
    <t>ԱՍՀՆ ծախսեր</t>
  </si>
  <si>
    <t>ՅՈՒՐԱՔԱՆՉՅՈՒՐ ՊԱՏԱՍԽԱՆԱՏՈՒ ՄԱՐՄՆԻ ԾԱԽՍԵՐ/ԻՐ ԲՅՈՒՋԵ</t>
  </si>
  <si>
    <t>ԸՆԴԱՄԵՆԸ</t>
  </si>
  <si>
    <t>Հերթական համար</t>
  </si>
  <si>
    <t>Մեկնաբանություն</t>
  </si>
  <si>
    <t>Հաշվարկի նկարագրություն</t>
  </si>
  <si>
    <t>2031թ. Սկիզբ</t>
  </si>
  <si>
    <t>Արդյունաբերական գոտիներում գտնվող ընկերություններ տեղափոխված ավելի քան 500 հազար ՀՀ դրամ վարձատրություն ստացող մասնագետների փոխարեն նոր մասնագետների աշխատանքի ընդունում, ինչը կավելացնի վճարվելիք եկամտահարկը</t>
  </si>
  <si>
    <t>Արդյունաբերական գոտիներում գտնվող ընկերություններ տեղափոխված ավելի քան 500 հազար ՀՀ դրամ վարձատրություն ստացող մասնագետների փոխարեն նոր մասնագետներ կընդունվեն աշխատանքի, ովքեր միջինում կշարունակեն ստանալ 500,000 դրամ զուտ աշխատավարձ (690,714դր գրանցված աշխատավարձ, որի 20% կվճարվի որպես եկամտահարկ):
ՈՒՇԱԴՐՈՒԹՅՈՒՆ: Չնայած այն փաստին, որ նոր մասնագետները ևս կարող են գտնվել արդյունաբերական գոտիներում, ինչը ենթադրում է, որ նրանց եկամտահարկը պետք է կազմի 10%, հաշվարկը կատարվել է 20%, քանի որ 10% ծախս արդեն հաշվեգրվել է ծախսերի պլանավորման փուլում</t>
  </si>
  <si>
    <t>Միջին զուտ աշխատավարձը</t>
  </si>
  <si>
    <t>Միջին grosss աշխատավարձը</t>
  </si>
  <si>
    <t>Արդյունաբերական գոտիներում ներգրավված "Բարձրակարգ մասնագետների ներգրավման" ծրագրի շահառուների թվաքանակի աճը կբերի վճարվելիք եկամտահարկի աճի</t>
  </si>
  <si>
    <t>Արդյունաբերական գոտիներում գտնվող ընկերություններ տեղափոխված ավելի քան 2 մլն ՀՀ դրամ վարձատրություն ստացող մասնագետների փոխարեն նոր մասնագետներ կընդունվեն աշխատանքի, ովքեր միջինում կշարունակեն ստանալ 2 մլն դրամ զուտ աշխատավարձ (2,628,125դր գրանցված աշխատավարձ, որի 20% կվճարվի որպես եկամտահարկ):
ՈՒՇԱԴՐՈՒԹՅՈՒՆ: Չնայած այն փաստին, որ նոր մասնագետները ևս կարող են գտնվել արդյունաբերական գոտիներում, ինչը ենթադրում է, որ նրանց եկամտահարկը պետք է կազմի 10%, հաշվարկը կատարվել է 20%, քանի որ 10% ծախս արդեն հաշվեգրվել է ծախսերի պլանավորման փուլում</t>
  </si>
  <si>
    <t>Արդյունաբերական գոտիներում գտնվող ընկերություններ տեղափոխված ավելի քան 2մլն ՀՀ դրամ վարձատրություն ստացող մասնագետների թվաքանակը</t>
  </si>
  <si>
    <t>Որոշակի քանակով արդյունաբերական գույք կշարունակի մնալ Երևանում և վճարել կրկանկի գույքահարկ, ինչը կհանգեցնի համայնքային բյուջեում գույքահարկի մուտքերի ավելացմանը</t>
  </si>
  <si>
    <t>Հաշվարկը կատարվել է հետևյալ տրամաբանությամբ`
1. Եթե գույքահարկը չբարձացվի, 3,256 արտադրական նշանակության շինություններ (~1500քմ մեդիան մակերեսով) կշարունակեն մնալ երևանում և վճարել կադաստրային արժեքի 0.25% չափով գույքահարկ:
2. Եթե գույքահարկը բարձացվի, յուրաքանչյուր տարի որոշակի քանակով արտադրական նշանակության շինություններ դուրս կգան Երևանից, և, ըստ փորձագիտական գնահատականների, միայն դրանց 50% 2030թ. կմնա Երևանում: Յուրաքանչյուր տարի Երևանում մնացած գույքերը կվճարեն ավելացված գույքահարկ, որը հավասար կլինի դրանց կադաստրային արժեքի 0.5%:
3. Գործողության արդյունքում համայնքային բյուջեի ավելացված հարկային եկամուտները կկազմեն 2-րդ և 1-ին կետերով նախատեսված մուտքերի տարբերությունը:
ՈՒՇԱԴՐՈՒԹՅՈՒՆ: Հաշվարկի մեջ ֆիզիկական անձանց պատկանող արտադրական նշանակության գույքը ներառված չէ</t>
  </si>
  <si>
    <t>Իրավ անձանց պատկանող արտ նշանակության շինությունների քանակը Երևանում, միավոր: Աղբյուրը` Կադաստրի կոմիտե</t>
  </si>
  <si>
    <t>Իրավ անձանց պատկանող արտ նշանակության շինությունների առաջարկվող միջին մակերեսը Երևանում, մք (գործարանների մեդիանը ~1500քմ է): Աղբյուրը` Կադաստրի կոմիտե, Խորհրդատուի հաշվարկներ</t>
  </si>
  <si>
    <t>Կադաստրային արժեք, 1քմ համար, դր: Աղբյուրը` Փորձագիտական կարծիք</t>
  </si>
  <si>
    <t>Եթե գույքահարկը չբարձացվի</t>
  </si>
  <si>
    <t>Եթե գույքահարկը բարձացվի</t>
  </si>
  <si>
    <t xml:space="preserve">Մարզերում գտնվող և չօգտագործվող արդյունաբերական նշանակության տարածքների գույքահարկի բարձրացումը կհանգեցնի համայնքային բյուջներ վճարվելիք գույքահարկի ավելացմանը </t>
  </si>
  <si>
    <t>Հաշվարկը կատարվել է հետևյալ տրամաբանությամբ`
1. Եթե գույքահարկը չբարձացվի, ամբողջ արտադրական նշանակության գույքը կշարունակի վճարել կադաստրային արժեքի 0.25% չափով գույքահարկ:
2. Եթե գույքահարկը բարձացվի, չօգտոգործվող գույքը առաջին տարում` 2024թ. կվճարի իր կադաստրային արժեքի 0.25% գույքահարկը` բարձացված 1.5 գործակցով, որը յուրաքանչյուր հաջորդ տարում կկրկնապատկվի: Օգտագործվող գույքը կշարունակի վճարել իր կադաստրային արժեքի 0.25% չափով գուքահարկ:
3. Գործողության արդյունքում համայնքային բյուջեի ավելացված հարկային եկամուտները կկազմեն 2-րդ և 1-ին կետերով նախատեսված մուտքերի տարբերությունը:
ՈՒՇԱԴՐՈՒԹՅՈՒՆ: Հաշվարկի մեջ ֆիզիկական անձանց պատկանող արտադրական նշանակության գույքը ներառված չէ</t>
  </si>
  <si>
    <t>Իրավաբանական անձանց պատկանող մարզերում գտնվող  նշանակության գույքի մակերես, քմ: Աղբյուրը` Կադաստրի կոմիտե</t>
  </si>
  <si>
    <t>Իրավաբանական անձանց պատկանող մարզերում գտնվող և չօգտագործվող արդյունաբերական նշանակության գույքի գնահատված կշիռը</t>
  </si>
  <si>
    <t xml:space="preserve">Իրավաբանական անձանց պատկանող մարզերում գտնվող և չօգտագործվող արդյունաբերական նշանակության գույքի մակերեսը, քմ </t>
  </si>
  <si>
    <t>"Արդյունաբերական գոտու շահագործողի" սերտիֆիկատ ստացած ընկերությունների ընդհանուր աշխատողների թվաքանակը, ովքեր կվճարեն 10% եկամտահարկ` ապահովելով ավելացված հարկային եկամուտներ պետբյուջեի համար</t>
  </si>
  <si>
    <t>"Արդյունաբերական գոտու շահագործողի" սերտիֆիկատ ստացած ընկերություններում ընդհանուր աշխատողների թվաքանակը կավելանա, ինչն էլ կավելացնի եկամտային հարկից մուտքերը
ՈՒՇԱԴՐՈՒԹՅՈՒՆ: Չնայած այն փաստին, որ նոր մասնագետները աշխատելու են արդյունաբերական գոտիներում, ինչը ենթադրում է, որ նրանց եկամտահարկը պետք է կազմի 10%, հաշվարկը կատարվել է 20%, քանի որ 10% ծախս արդեն հաշվեգրվել է ծախսերի պլանավորման փուլում</t>
  </si>
  <si>
    <t>Արդյունաբերական գոտու շահագործողի սերտիֆիկատ ստացած ընկերությունների աշխատողների gross միջին աշխատավարձը, հ. ՀՀ դրամ</t>
  </si>
  <si>
    <t>18-29 տարեկան չսովորող, չաշխատող երիտասարդների զբաղվածության աճը կբերի ավելացված մուտքեր եկամտային հարկերից</t>
  </si>
  <si>
    <t>Հաշվարկը կատարվել է հետևյալ տրամաբանությամբ`
1. Եթե գործողությունը չկատարվի, զբաղված NEET-ի քանակը կմնա նույնը, ինչ 2023թ. (կամ էականորեն չի փոխվի): Այնուամենայնիվ, միջին աշխատավարձը կշարունակի պատմական թրենդով աճել, ինչը կբերի վճարվելիք եկամտահարկի ավելացման:
2. Եթե գործողությունը կատարվի,  զբաղված NEET-ի քանակը աճի: Միջին աշխատավարձը ևս պատմական թրենդով կշարունակի աճել:
3. Գործողության արդյունքում համայնքային բյուջեի ավելացված հարկային եկամուտները կկազմեն 2-րդ և 1-ին կետերով նախատեսված մուտքերի տարբերությունը:</t>
  </si>
  <si>
    <t>Զբաղվածներ - ըստ տարիքային խմբերի, 20-24, մարդ</t>
  </si>
  <si>
    <t>Զբաղվածներ - ըստ տարիքային խմբերի, 25-29, մարդ</t>
  </si>
  <si>
    <t>Եկամտային հարկը</t>
  </si>
  <si>
    <t>Եթե փոփոխությունը չկատարվի</t>
  </si>
  <si>
    <t>Եթե փոփոխությունը կատարվի</t>
  </si>
  <si>
    <t>Կանանց զբաղվածության աճի արդյունքում կաճի վճարվելիք եկամտային հարկի ծավալը</t>
  </si>
  <si>
    <t>Հաշվարկը կատարվել է հետևյալ տրամաբանությամբ`
1. Եթե գործողությունը չկատարվի, զբաղված կանանց քանակը կմնա նույնը, ինչ 2023թ. (կամ էականորեն չի փոխվի): Այնուամենայնիվ, կականց միջին աշխատավարձը կշարունակի պատմական թրենդով աճել, ինչը կբերի վճարվելիք եկամտահարկի ավելացման:
2. Եթե գործողությունը կատարվի,  զբաղված կանանց քանակը և կանանց միջին աշխատավարձը կաճեն:
3. Գործողության արդյունքում համայնքային բյուջեի ավելացված հարկային եկամուտները կկազմեն 2-րդ և 1-ին կետերով նախատեսված մուտքերի տարբերությունը:</t>
  </si>
  <si>
    <t>Միջին ամսական զուտ աշխատավարձը/ եկամուտը, կին, ընդամենը, 15-74, դրամ, փոփոխության արդյունքում</t>
  </si>
  <si>
    <t>Միջին ամսական զուտ աշխատավարձը/ եկամուտը, կին, ընդամենը, 15-74, դրամ, փոփոխություն չկատարելու դեպքում</t>
  </si>
  <si>
    <t>Եկամտային հարկը, փոփոխության արդյունքում</t>
  </si>
  <si>
    <t>Եկամտային հարկը, փոփոխություն չկատարելու դեպքում</t>
  </si>
  <si>
    <t>Ընտանեկան և սոցիալական նպաստ ստացող առանց սահմանափակումների աշխատունակ շահառուների աշխատաշուկայում ինտեգրման արդյունքում կիրականացվի խնայողություն` վճարվելիք նպաստների չափով</t>
  </si>
  <si>
    <t>Յուրաքանչյուր տարի որոշակի քանակով ընտանիքներ կդադարեն ընտանեկան և սոցիալական նպաստ ստանալ, ինչի արդյունքում կիրականացվեն խնայողություններ: Յուրաքանչյուր հաջորդ տարվա խնայողության մեջ ներառված է նաև նախորդ տարվա խնայողության չափը, քանի որ նախորդ տարի ընտանեկան և սոցիալական նպաստ ստանալ դադարած ընտանիքները կշարունակեն նպաստ չստանալ</t>
  </si>
  <si>
    <t>Այլևս նպաստ չստացող</t>
  </si>
  <si>
    <t>Տրված փոխհատուցման 16.67% հետ կվերադարձվի պետբյուջե` ԱԱՀ-ի տեսքով, պայմանով, որ տրված փոխհատուցման մեջ ԱԱՀ-ն ներառված լինի</t>
  </si>
  <si>
    <t>Տրված փոխհատուցման ծավալ, դրամ</t>
  </si>
  <si>
    <t>Կապիտալ և օպերացիոն ծախսերի փոխհատուցման 16.67% հետ կվերադարձվի պետբյուջե` ԱԱՀ-ի տեսքով, պայմանով, որ տրված փոխհատուցման մեջ ԱԱՀ-ն ներառված լինի</t>
  </si>
  <si>
    <t>Միջմարզային ճանապարհների վերանորոգման վրա ծախսվող գումարի 16.67% հետ կվերադարձվի պետբյուջե` ԱԱՀ-ի տեսքով, պայմանով, որ տրված փոխհատուցման մեջ ԱԱՀ-ն ներառված լինի: Կավելանան նաև եկամտային հարկից մուտքերը</t>
  </si>
  <si>
    <t>Ծախսված գումարի 16.67% հետ կվերադարձվի պետական բյուջե ԱԱՀ-ի տեսքով,  պայմանով, որ տրված փոխհատուցման մեջ ԱԱՀ-ն ներառված լինի: Մնացորդային գումարի 19% (Աշխատանքային ռեսուրսների վրա ծախսված գումարի կշիռը շինարարության ոլորտում 2022թ.) կվճարվի որպես աշխատավարձ, որի 20% եկամտահարկի տեսքով կրկին հետ կմուտքագրվի պետական բյուջե</t>
  </si>
  <si>
    <t>Ծախսված գումար</t>
  </si>
  <si>
    <t>Վճարվելիք ԱԱՀ</t>
  </si>
  <si>
    <t>Գումարը` առանց ԱԱՀ</t>
  </si>
  <si>
    <t>Աշխատանքային ռեսուրսների վրա ծախսված գումարի կշիռը շինարարության ոլորտում, 19% 2022թ.: Աղբյուրը` ԱրմՍտատ</t>
  </si>
  <si>
    <t>Վճարվելիք եկամտահարկը</t>
  </si>
  <si>
    <t>Սուբվենցիոն ծրագրերի արդյունքում վճարված գումարների 16.67% հետ կվերադարձվի պետբյուջե` ԱԱՀ-ի տեսքով, պայմանով, որ տրված փոխհատուցման մեջ ԱԱՀ-ն ներառված լինի: Կավելանան նաև եկամտային հարկից մուտքերը</t>
  </si>
  <si>
    <t>Տրված փոխհատուցման 16.67% հետ կվերադարձվի պետբյուջե` ԱԱՀ-ի տեսքով, պայմանով, որ տրված փոխհատուցման մեջ ԱԱՀ-ն ներառված լինի: Կավելանան նաև եկամտային ահրկից մուտքերը: Ավելին, պետության հաշվեկշռում 2031թ. դրությամբ առկա կլինեն կատարված ներդրումների հաշվեկշռային արժեքներով հաշվառված ակտիվներ</t>
  </si>
  <si>
    <t>Հաշվարկը կատարվել է 2 մասով`
1. Ծախսված գումարի 16.67% հետ կվերադարձվի պետական բյուջե ԱԱՀ-ի տեսքով,  պայմանով, որ տրված փոխհատուցման մեջ ԱԱՀ-ն ներառված լինի: Մնացորդային գումարի 19% (Աշխատանքային ռեսուրսների վրա ծախսված գումարի կշիռը շինարարության ոլորտում 2022թ.) կվճարվի որպես աշխատավարձ, որի 20% եկամտահարկի տեսքով կրկին հետ կմուտքագրվի պետական բյուջե:
2. Յուրաքանչյուր տարի կատարված ներդրումների կուտակված մաշվածությունը (20տարի, գծային հավասարաչափ մեթոդ) հանվել է սկզբնական գումարից` ստանալու համար կատարված ներդրման հաշվեկշռային արժեքը 2031թ. դրությամբ</t>
  </si>
  <si>
    <t>Հաշվեկշռային արժեք, 2031թ դրությամբ</t>
  </si>
  <si>
    <t>Տրված փոխհատուցման 16.67% հետ կվերադարձվի պետբյուջե` ԱԱՀ-ի տեսքով, պայմանով, որ տրված փոխհատուցման մեջ ԱԱՀ-ն ներառված լինի: Կավելանան նաև եկամտային ահրկից մուտքերը</t>
  </si>
  <si>
    <t>Հաշվարկներում ներառված են միայն պլանավորված գործողությունների ուղղակի արդյունքները: Այլ անուղղակի արդյունքների, որոնք կարող են ունենալ մուլտիպլիկատիվ էֆֆեկտ, ներառման դեպքում ծրագրի զուտ ներկա արժեքը կարող է շատ ավելի մեծ ստացվել</t>
  </si>
  <si>
    <t>Տարի, 2024=1</t>
  </si>
  <si>
    <t>Ծախսեր</t>
  </si>
  <si>
    <t>Եկամուտներ</t>
  </si>
  <si>
    <t>Զեղչման տոկոսադրույք, 10տ դրամային պետական պարտատոմսերի եկամտաբերությունը</t>
  </si>
  <si>
    <t>Ծախսերի ներկա արժեք</t>
  </si>
  <si>
    <t>Եկամուտների ներկա արժեք</t>
  </si>
  <si>
    <t>Զուտ ներկա արժեք</t>
  </si>
  <si>
    <t>ԶՈՒՏ ՆԵՐԿԱ ԱՐԺԵՔԻ ՑՈՒՑԱՆԻՇՆԵՐ</t>
  </si>
  <si>
    <t>Եկամտային հարկից մուտքեր</t>
  </si>
  <si>
    <t>Ընտանեկան և սոցիալական նպաստներից խնայողություն</t>
  </si>
  <si>
    <t>Գույքահարկից մուտքեր</t>
  </si>
  <si>
    <t>ԱԱՀ-ից մուտքեր</t>
  </si>
  <si>
    <t>Պլանավորված մուտքերը, մլրդ դրամ</t>
  </si>
  <si>
    <t>Ներդրված գումարը</t>
  </si>
  <si>
    <t>Տարեկան մաշվածությունը</t>
  </si>
  <si>
    <t>2025թ ներդրման հաշվեկշռային արժեքը յուր տարվա վերջում</t>
  </si>
  <si>
    <t>2026թ ներդրման հաշվեկշռային արժեքը յուր տարվա վերջում</t>
  </si>
  <si>
    <t>2027թ ներդրման հաշվեկշռային արժեքը յուր տարվա վերջում</t>
  </si>
  <si>
    <t>2028թ ներդրման հաշվեկշռային արժեքը յուր տարվա վերջում</t>
  </si>
  <si>
    <t>2029թ ներդրման հաշվեկշռային արժեքը յուր տարվա վերջում</t>
  </si>
  <si>
    <t>2030թ ներդրման հաշվեկշռային արժեքը յուր տարվա վերջում</t>
  </si>
  <si>
    <t>Ընդամենը հաշվեկշռային արժեքը յուր. տարվա վերջում, մլրդ դրամ</t>
  </si>
  <si>
    <t>Զուտ ներկա արժեք, մլրդ դրամ</t>
  </si>
  <si>
    <t>Ծախսերի ներկա արժեք, մլրդ դրամ</t>
  </si>
  <si>
    <t>Եկամուտների ներկա արժեք, մլրդ դրամ</t>
  </si>
  <si>
    <t>B - Հանքագործական արդյունաբերություն և բացահանքերի շահագործում (ՀՆԱ-ի կառուցվածք, %)</t>
  </si>
  <si>
    <t>C - Մշակող արդյունաբերություն (ՀՆԱ-ի կառուցվածք, %)</t>
  </si>
  <si>
    <t>D - Էլեկտրականության, գազի, գոլորշու և լավորակ օդի մատակարարում (ՀՆԱ-ի կառուցվածք, %)</t>
  </si>
  <si>
    <t>E - Ջրամատակարարում, կոյուղի, թափոնների կառավարում և վերամշակում (ՀՆԱ-ի կառուցվածք, %)</t>
  </si>
  <si>
    <t>Արդյունաբերությունում զբաղվածներ - ք․ Երևան, 15-74, մարդ</t>
  </si>
  <si>
    <t>*B - Հանքագործական արդյունաբերություն և բացահանքերի շահագործում, 15-74, մարդ</t>
  </si>
  <si>
    <t>*C - Մշակող արդյունաբերություն, 15-74, մարդ</t>
  </si>
  <si>
    <t>*D - Էլեկտրականության, գազի, գոլորշու և լավորակ օդի մատակարարում, 15-74, մարդ</t>
  </si>
  <si>
    <t>*E - Ջրամատակարարում, կոյուղի, թափոնների կառավարում և վերամշակում, 15-74, մարդ</t>
  </si>
  <si>
    <t>Արդյունաբերությունում զբաղվածներ - քաղաքներ, 15-74, մարդ</t>
  </si>
  <si>
    <t>Արդյունաբերությունում զբաղվածներ - մարզային քաղաքներ, 15-74, մարդ</t>
  </si>
  <si>
    <t>Արդյունաբերությունում զբաղվածներ - գյուղեր 15-74, մարդ</t>
  </si>
  <si>
    <t>Արդյունաբերությունում զբաղվածներ - մ․ք․ն․հ․, 15-74, մարդ</t>
  </si>
  <si>
    <t>Ընդամենը (A-U) զբաղվածներ - մ․ք․ն․հ․, 15-74, մարդ</t>
  </si>
  <si>
    <t>ՀՀ ընդամենը - Թողարկված արդյունաբերական արտադրանքի ծավալը, ընթացիկ գներով, մլն․ դրամ</t>
  </si>
  <si>
    <t>Երևան - Թողարկված արդյունաբերական արտադրանքի ծավալը, ընթացիկ գներով, մլն․ դրամ</t>
  </si>
  <si>
    <t>Մարզեր - Թողարկված արդյունաբերական արտադրանքի ծավալը, ընթացիկ գներով, մլն․ դրամ</t>
  </si>
  <si>
    <t>Արդյունաբերական գոտիների պետական ծրագրի իրականացմանը ուղղված կապիտալ ներդրումների (կուտակային արժեք) հարաբերակցությունը արդյունաբերական գոտիներում գործող ընկերությունների աշխատողների թվին, հ. ՀՀ դրամ</t>
  </si>
  <si>
    <t xml:space="preserve">Հաշվարկները ներառում են Հայաստանի 10 լավագույն PR գործակալությունների գնացուցակների միջին ցուցանիշները (աղբյուրը՝ sortlist.com): 2024 թվականի ծախսերը ցածր են, ինչը պայմանավորված է ռազմավարության հաստատման գործընթացում մեդիա արշավների մեկնարկի և ռազմավարական հաղորդակցության անհրաժեշտությամբ (20 մլն դրամ՝ նմանատիպ ռազմավարական հաղորդակցման արշավների համար): Աճը փոխկապակցված է արդյունաբերական գոտիների զարգացման հետ (80 մլն և 100 մլն դրամ 2025 ու 2026 թվականներին, երբ կսկսվեն զգալի կապիտալ ներդրումներ արդյունաբերական գոտիներում)։ Հաշվարկը ներառում է նաև տարեկան 4% գնաճ։ </t>
  </si>
  <si>
    <t>Հաշվարկի ժամանակ հաշվի են առնվել հանրային աշխատանքներ կատարող քաղաքացիների ընդհանուր թիվը, ինչպես նաև նվազագույն աշխատավարձի չափով վճարումները</t>
  </si>
  <si>
    <t>1 արդյունաբերական գոտու միջին արժեքը (որը կազմում է մոտավորացված 11 000 մլն ՀՀ դրամ) հաշվարկելու համար հիմք են ընդունվել հետևյալ բաղադրիչները. (1) մինչև 2030 թվականը պոտենցիալ 90,000 աշխատատեղ ստեղծելու նպատակ. 2) աշխարհում և տարածաշրջանում արդյունաբերական գոտու ստեղծման համար կապիտալ ներդրումների ծավալը. 3) 1 աշխատատեղի համար ծախսերի հաշվարկ. (4) մինչև 2030 թվականը 24 արդյունաբերական գոտիների ստեղծման թիրախը: Որպես տվյալների աղբյուր օգտագործվել են հետևյալ նյութերը. 
- International Guidelines for Industrial Parks by UNIDO https://ipp.unido.org/sites/default/files/knowledge/2020-11/International%20Guidelines%20for%20Industrial%20Parks_EN-pages.pdf
- Ղազախստանի լայն և համապարփակ փորձը Կիզիլորդայի մարզում 6 արդյունաբերական գոտիներ ստեղծելու գործում, որը ներկայացրել է Կիզիլորդայի շրջանի ձեռներեցության և արդյունաբերության վարչությունը.  https://www.gov.kz/memleket/entities/kyzylorda-kasipkerlik/press/article/details/23146
- Managing a moonshot: Keeping large industrial projects on track by McKinsey https://www.mckinsey.com/capabilities/operations/our-insights/managing-a-moonshot-keeping-large-industrial-projects-on-track 
Ներկայացված փորձի հիման վրա 1 արդյունաբերական գոտու օպերատորի համար ծառայությունների արժեքը ներկայացվել է կապիտալ ներդրումների 1%-ի սահմաններում։ Հաշվարկում հաշվի է առնվել 1% 1 արդյունաբերական գոտու համար (որը կազմում է մոտավորացված 33 մլն ՀՀ դրամ)։</t>
  </si>
  <si>
    <t>Կապիտալ / ընթացիկ ծախսեր</t>
  </si>
  <si>
    <t>ՀՀ 2024 թ. պետական բյուջեով նախատեսված կապիտալ ծախսերը</t>
  </si>
  <si>
    <t>Զբաղվածության ռազմավարության գործողությունների ծրագրով նախատեսված ընթացիկ ծախսերը</t>
  </si>
  <si>
    <t>Զբաղվածության ռազմավարության գործողությունների ծրագրով նախատեսված կապիտալ ծախսերը</t>
  </si>
  <si>
    <t>ՀՀ 2024 թ. պետական բյուջեով նախատեսված ծախսերը</t>
  </si>
  <si>
    <t>ՀՀ 2024 թ. պետական բյուջեով նախատեսված ընթացիկ ծախսերը</t>
  </si>
  <si>
    <t>Զբաղվածության ռազմավարության գործողությունների ծրագրով նախատեսված կապիտալ ծախսերի մասնաբաժինը</t>
  </si>
  <si>
    <t>Զբաղվածության ռազմավարության գործողությունների ծրագրով նախատեսված ընթացիկ ծախսերի մասնաբաժինը</t>
  </si>
  <si>
    <t>Կապիտալ ծախսերի մասնաբաժինը, %</t>
  </si>
  <si>
    <t>Ընթացիկ ծախսերի մասնաբաժինը, %</t>
  </si>
  <si>
    <t>Կապիտալ ծախսեր</t>
  </si>
  <si>
    <t>Ընթացիկ ծախսեր</t>
  </si>
  <si>
    <t>5.3.1.7.i1</t>
  </si>
  <si>
    <t>Կհաշվարկվի ռազմավարության առաջին թարմացման ժամանակ համապատասխան տվյալները հավաքելուց հետո</t>
  </si>
  <si>
    <t>Զբաղվածության ռազմավարության գործողությունների ծրագրով նախատեսված  ծախսերը մեկ նոր զբաղվածի հաշվով</t>
  </si>
  <si>
    <t>Զուտ ծախսերը մեկ նոր զբաղվածի հաշվով (2024-2030)</t>
  </si>
  <si>
    <t>Ընթացիկ ծախսերը մեկ նոր զբաղվածի հաշվով (2024-2030)</t>
  </si>
  <si>
    <t>ԱՍՀՆ ծախսերը մեկ նոր զբաղվածի հաշվով (2024-2030)</t>
  </si>
  <si>
    <t>Զուտ ծախսերը մեկ նոր զբաղվածի հաշվով, հազար ՀՀ դրամ</t>
  </si>
  <si>
    <t>Ընթացիկ ծախսերը մեկ նոր զբաղվածի հաշվով, հազար ՀՀ դրամ</t>
  </si>
  <si>
    <t>ԱՍՀՆ ծախսերը մեկ նոր զբաղվածի հաշվով, հազար ՀՀ դրամ</t>
  </si>
  <si>
    <t>բացարձակ</t>
  </si>
  <si>
    <t>Միջին ամսական աշխատավարձը/ եկամուտը, տղամարդ, ընդամենը, 15-74, դրամ</t>
  </si>
  <si>
    <t>Միջին ամսական աշխատավարձը/ եկամուտը, կին, ընդամենը, 15-74, դրամ</t>
  </si>
  <si>
    <t>Միջին ամսական աշխատավարձը/ եկամուտը, դրամ</t>
  </si>
  <si>
    <t>Միջին ամսական աշխատավարձը/ եկամուտը, կին, ընդամենը, 15-74, դրամ (Եթե փոփոխությունը չկատարվի)</t>
  </si>
  <si>
    <t>Եկամտային հարկը  (Եթե փոփոխությունը չկատարվի)</t>
  </si>
  <si>
    <t>Միջին ամսական աշխատավարձը/ եկամուտը, դրամ  (Եթե փոփոխությունը չկատարվի)</t>
  </si>
  <si>
    <t>Զբաղվածներ - գյուղատնտեսություն, 1000 մարդ, 15-74</t>
  </si>
  <si>
    <t>Զբաղվածներ - ոչ գյուղատնտեսություն, 1000 մարդ, 15-74</t>
  </si>
  <si>
    <t>Զբաղվածներ - գյուղատնտեսություն, %, 15-74</t>
  </si>
  <si>
    <t>Զբաղվածներ - ոչ գյուղատնտեսություն, %, 15-74</t>
  </si>
  <si>
    <t>Միջին ամսական  անվանական աշխատավարձը/եկամուտը ՀՀ-ում, դրամ - Ոչ գյուղատնտեսական ոլորտ</t>
  </si>
  <si>
    <t>ՀՀ ոչ գյուղատնտեսական ոլորտներում միջին ամսական անվանական աշխատավարձ/եկամուտ, դրամ</t>
  </si>
  <si>
    <t>Միջին ամսական անվանական աշխատավարձը/ եկամուտը, տղամարդ, ընդամենը, 15-74, դրամ</t>
  </si>
  <si>
    <t>Միջին ամսական անվանական աշխատավարձը/ եկամուտը, կին, ընդամենը, 15-74, դրամ</t>
  </si>
  <si>
    <t>Տղամարդ և կին զբաղվածների (վարձու և ոչ վարձու աշխատող) միջին ամսական  անվանական աշխատավարձների/եկամուտների տոկոսային տարբերությունը (ՀՀ բնակչություն, 15-74 տարեկան)</t>
  </si>
  <si>
    <t>Շարունակական միջոցառումների ֆինանսավորում հ. ՀՀ դրամ</t>
  </si>
  <si>
    <t>Ծախսերի, մլրդ դրամ</t>
  </si>
  <si>
    <t>Եկամուտների, մլրդ դրամ</t>
  </si>
  <si>
    <t>Առանց կապիտալ ծախսերի և համապատասխան եկամուտների</t>
  </si>
  <si>
    <t>Ընթացիկ ծախսեր/եկամուտներ մինչև 2035</t>
  </si>
  <si>
    <t>Ընդհանուր ծախսեր/եկամուտներ մինչև 2035</t>
  </si>
  <si>
    <t>Զբաղվածներ, ընդամենը, 1000 մարդ, 15-74 (իներցիոն սցենար)</t>
  </si>
  <si>
    <t>ՀՀ զբաղվածության մակարդակ, % (իներցիոն սցենար)</t>
  </si>
  <si>
    <t>Աշխատանքի թերօգտագործման ագրեգացված ցուցանիշ, ընդամենը, 1000 մարդ, 15-74 (իներցիոն սցենար)</t>
  </si>
  <si>
    <t>Հայաստան (իներցիոն սցենար)</t>
  </si>
  <si>
    <t>Իներցիոն սցենար</t>
  </si>
  <si>
    <t>Միջին եկամտի մակարդակը ոչ գյուղատնտեսական ոլորտներում, դրամ  (իներցիոն սցենար)</t>
  </si>
  <si>
    <t>2024 թվականի հաստատված պետական ​​բյուջեում համադրելի ծրագրեր</t>
  </si>
  <si>
    <t>Կրթություն</t>
  </si>
  <si>
    <t>Սուբվենցիոն ծրագրեր</t>
  </si>
  <si>
    <t>Լիզինգային ծրագրեր և տնտեսության արդիականացման միջոցառումներ</t>
  </si>
  <si>
    <t>Բարձր որակավորում ունեցող մասնագետների ներգրավում</t>
  </si>
  <si>
    <t>Էկոնոմիկայի  ոլորտում պետական քաղաքականության մշակում</t>
  </si>
  <si>
    <t>Ներդրումներ, տնտեսական ենթակառուցվածքներ և արտահանման խթանման ծրագիր</t>
  </si>
  <si>
    <t>Զբաղվածության ծրագիր</t>
  </si>
  <si>
    <t>Ռազմավարության շրջանակներում նախատեսված ծախսեր</t>
  </si>
  <si>
    <t>2024 թվականի հաստատված պետական ​​բյուջեում համադրելի ծրագրերին ուղղված հատկացված ծախսեր</t>
  </si>
  <si>
    <t>Մարզային քաղաքները ներառող համայնքների աշխատանքային տարիքի չսովորող, չաշխատող քաղաքացիների ոչ ֆորմալ կարճաժամկետ մասնագիտական ուսուցում ստանալու խրախուսում</t>
  </si>
  <si>
    <t>Միջին տարիքի (30-40) չաշխատող կանանց ոչ ֆորմալ կարճաժամկետ մասնագիտական ուսուցում ստանալու խրախուսում</t>
  </si>
  <si>
    <t>Ընտանեկան և սոցիալական նպաստ ստացող առանց սահմանափակումների աշխատունակ շահառուներին ոչ ֆորմալ կարճաժամկետ մասնագիտական ուսուցում ստանալու խրախուսում</t>
  </si>
  <si>
    <t>Ոչ ֆորմալ ուսուցում</t>
  </si>
  <si>
    <t>Ֆինանսական աջակցություն</t>
  </si>
  <si>
    <t>Վաուչերային ծրագիր</t>
  </si>
  <si>
    <t>Բարձրակարգ մասնագետների ներգրավման ծրագրի</t>
  </si>
  <si>
    <t>Աշխատավարձի սուբսիդավորման ծրագրեր</t>
  </si>
  <si>
    <t>Հիփոթեքային վարկավորման աջակցության ծրագրեր</t>
  </si>
  <si>
    <t>Արդյունաբերական գոտիների զարգացմանն ուղղված կապիտալ ներդրումներ</t>
  </si>
  <si>
    <t>Փոփոխություններ հարկային ռեժիմներում</t>
  </si>
  <si>
    <t>Բարձրագույն կրթության աջակցության լրացուցիչ ծրագրեր</t>
  </si>
  <si>
    <t>Վճարված եկամտահարկի վերադարձ</t>
  </si>
  <si>
    <t>Հանրային աշխատանքների ֆինանսավորում</t>
  </si>
  <si>
    <t>Սուբվենցիոն ծրագրեր և այլ կապիտալ ծախսեր</t>
  </si>
  <si>
    <t>Մարզերում նորաստեղծ արդյունաբերական ձեռնարկությունների թվաքանակը</t>
  </si>
  <si>
    <t>Զբաղվածության աճ` մրցունակ և զբաղունակ աշխատուժի ձևավորման և բարձր արտադրողականությամբ աշխատանքային հնարավորությունների ընդլայնման միջոցով</t>
  </si>
  <si>
    <t xml:space="preserve">Մարզային քաղաքները ներառող համայնքներում ոչ գյուղատնտեսական, բարձր արտադրողականություն ունեցող զբաղվածության աճ
</t>
  </si>
  <si>
    <t xml:space="preserve">18-29 տարեկան չսովորող, չաշխատող երիտասարդների զբաղվածության աճ՝ հմտությունների շարունակական զարգացման, դրանց իրացման հնարավորությունների ընդլայնման և արտադրողականության բարձրացման միջոցով 
</t>
  </si>
  <si>
    <t xml:space="preserve">Ընտանեկան և սոցիալական նպաստ ստացող, առանց սահմանափակումների աշխատունակ շահառուների ինտեգրում՝ սոցիալական նպաստի համակարգի արդյունավետության բարձրացման միջոցով
</t>
  </si>
  <si>
    <t xml:space="preserve">Զբաղվածության ոլորտում պետական քաղաքականության համակարգի փոխակերպում՝ նպատակաուղղված մարդկային կապիտալի (աշխատաշուկայի առաջարկի) զարգացմանը, բարձր արտադրողականությամբ աշխատատեղերի (աշխատաշուկայի պահանջարկի) աճին, աշխատուժի առաջարկի և պահանջարկի անհամապատասխանությունների կրճատմանը
</t>
  </si>
  <si>
    <t>Մարզային քաղաքները ներառող համայնքներում ոչ գյուղատնտեսական, բարձր արտադրողականություն ունեցող զբաղվածության աճ</t>
  </si>
  <si>
    <t xml:space="preserve">Վերջին մեկ տարվա ընթացքում գործազուրկ եղած միջին տարիքի կանանց աշխատանքի ընդունման դեպքում եկամտահարկի վերադարձ գործատուին մինչև 10 տոկոսային կետի չափով` աշխատանքի ընդունման պահից մեկ տարվա ընթացքում </t>
  </si>
  <si>
    <t>Երևանում գտնվող արդյունաբերական նշանակության տարածքների գույքահարկի մինչև կրկնակի բարձրացում</t>
  </si>
  <si>
    <t xml:space="preserve">Մարզերում գտնվող և չօգտագործվող արդյունաբերական նշանակության տարածքների գույքահարկի բարձրացում` տարածքի կադաստրային արժեքի մինչև 1.5 չափով, որը կրկնապատկվում է յուրաքանչյուր հաջորդ հարկային տարում: </t>
  </si>
  <si>
    <t xml:space="preserve">"Արդյունաբերական գոտու շահագործողի" սերտիֆիկատի համակարգի մշակում, որը ենթադրում է հարկային արտոնությունների տրամադրում՝ մինչև 0% շահութահարկ   և մինչև 10% եկամտահարկ` 5 տարի ժամկետով: </t>
  </si>
  <si>
    <t>Ավագ դպրոցի սովորողների համար ֆինանսական գրագիտության բաղադրիչի զարգացում</t>
  </si>
  <si>
    <t>Ավագ դպրոցում ու նախնական մասնագիտական ուսումնական հաստատություններում կամավորության պարտադիր մոդուլի զարգացում («Կամավորության պարտադիր մոդուլը» կարող է դիտարկվել «Մասնագիտական կողմնորոշում» խմբակի  ձեռնարկի  վերանայման համատեքստում)</t>
  </si>
  <si>
    <t>Լիզինգի միջոցով ավտոբուսների ձեռքբերման համար օժանդակության տրամադրում լիզինգի տոկոսների մինչև 10 տոկոսային կետով համաֆինանսավորման տեսքով՝ ներհամայնքային փոխադրումներ կազմակերպելու նպատակով</t>
  </si>
  <si>
    <t>Լիզինգի միջոցով արտադրական սարքավորումների ձեռքբերման աջակցության տրամադրում` արդյունաբերական գոտիներում գործող կազմակերպությունների  արդյունաբերական տեխնիկայի ձեռքբերման լիզինգի տոկոսների մինչև 75%-ի չափով սուբսիդավորման միջոցով, եթե տեխնիկայի արժեքը չի գերազանցում 2 միլիարդ դրամը, իսկ լիզինգի մարման ժամկետը` 10 տարին</t>
  </si>
  <si>
    <t>Լիզինգի միջոցով արդյունաբերական տեխնիկայի ձեռքբերման աջակցության տրամադրում մարզային քաղաքներում գործող կազմակերպություններին` արդյունաբերական լիզինգի տոկոսների մինչև 50% չափով սուբսիդավորման միջոցով, եթե տեխնիկայի արժեքը չի գերազանցում 1 միլիարդ դրամը, իսկ լիզինգի մարման ժամկետը՝ 8 տարին</t>
  </si>
  <si>
    <t>Մասնավոր ընկերությունների հետ համատեղ մասնագիտական կրթական ծրագրերի սուբսիդավորում` դասավանդողների աշխատավարձի մինչև 15%-ի չափով վերադարձի միջոցով, եթե դրա շրջանավարտների 50%-ը և ավելին 3 ամսվա ընթացքում գտել են աշխատանք</t>
  </si>
  <si>
    <t>Ինտերակտիվ մասնագիտական վերապատրաստման հարթակի տարեկան մինչև 3 դասընթացի բաժանորդագրման հնարավորության տրամադրում</t>
  </si>
  <si>
    <t xml:space="preserve">Մասնավոր ընկերությունների հետ համատեղ վերապատրաստման ծրագրերի իրականացում` պետության կողմից դասավանդողների աշխատավարձի մինչև 15% չափով փոխհատուցմամբ, եթե կրթական ծրագրի շրջանավարտների 50% և ավելին 3 ամսվա ընթացքում գտել են աշխատանք </t>
  </si>
  <si>
    <t>Մասնավոր արդյունաբերական գոտիների ստեղծման կապիտալ ծախսերի որոշակի փոխհատուցում</t>
  </si>
  <si>
    <t>Համապատասխան միջավայրի և մեխանիզմների ստեղծման միջոցով նպաստել արդյունաբերական ձեռնարկությունների` Երևանից մարզային քաղաքները ներառող համայնքներ տեղափոխմանը</t>
  </si>
  <si>
    <t>Յուրաքանչյուր հաջորդ հարկային տարում առաջարկվում է լրացուցիչ դիտարկել մարզերում գտնվող և չօգտագործվող արդյունաբերական նշանակության տարածքների գույքահարկի հաշվարկման գործակիցը ի լրումն արդեն իսկ կատարված բարձրացման: Չօգտագործվող է համարվում այն արդյունաբերական նշանակության տարածքը, որից ստացված տարեկան հասույթն ավելի քիչ է, քան տարածքի կադաստրային արժեքի 5%-ը</t>
  </si>
  <si>
    <t>Ոչ ֆորմալ ուսուցում իրականացնող մասնագիտական կրթական ոչ պետական հաստատությունների և ծրագրերի շրջանում դրամաշնորհային մրցույթի անցկացում՝ մարզային քաղաքներում մասնագիտական կրթության ծրագրեր իրականացնելու նպատակով</t>
  </si>
  <si>
    <t>Մարզային քաղաքները ներառող համայնքներում փոխհատուցված և տրամադրված զբաղվածության վաուչերների հարաբերակցությունը</t>
  </si>
  <si>
    <t>Փոխհատուցված զբաղվածության վաուչերների քանակի և մարզային քաղաքները ներառող համայնքներում թերօգտագործվող աշխատուժի հարաբերակցությունը</t>
  </si>
  <si>
    <t>Մարզային քաղաքները ներառող համայնքներում փոխհատուցված զբաղվածության վաուչերների թվաքանակը</t>
  </si>
  <si>
    <t>Հաշվարկը հիմնված է շահառուների տարեկան թվի վրա (հաշվարկվում է աշխատուժի թերօգտագործման կրճատման հիման վրա), զբաղվածության վաուչերների արժեքի (որը կազմում է մոտավորացված 300 հ. ՀՀ դրամ) և տարեկան 4% գնաճի վրա:</t>
  </si>
  <si>
    <t>Ֆինանսական և թվային գրագիտության առցանց դասընթացի մշակում, այդ թվում` դրանց տրամադրում ՄՍԾ տարածքային կենտրոններում: Դասընթացը պարտադիր է զբաղվածության վաուչերային ծրագրի բոլոր մասնակիցների համար (նույնը, ինչ 1.1.4 բ)</t>
  </si>
  <si>
    <t>18-29 տարեկան երիտասարդների շրջանակներում փոխհատուցված և տրամադրված զբաղվածության վաուչերների հարաբերակցությունը</t>
  </si>
  <si>
    <t>Փոխհատուցված զբաղվածության վաուչերների քանակի և 18-29 տարեկան բնակչության թերօգտագործվող աշխատուժի հարաբերակցությունը</t>
  </si>
  <si>
    <t>18-29 տարեկան երիտասարդների շրջանակներում փոխհատուցված զբաղվածության վաուչերների թվաքանակը</t>
  </si>
  <si>
    <t>Միջին տարիքի (30-40 տարեկան) կանանց շրջանակներում փոխհատուցված և տրամադրված զբաղվածության վաուչերների հարաբերակցությունը</t>
  </si>
  <si>
    <t>Փոխհատուցված զբաղվածության վաուչերների քանակի և միջին տարիքի (30-40 տարեկան) կանանց  թերօգտագործվող աշխատուժի հարաբերակցությունը</t>
  </si>
  <si>
    <t>Կարճաժամկետ ուսուցման ծրագրերի իրականացման պայմանների և ծրագրերի ապահովում զբաղվածության վաուչերային համակարգի ներդրմամբ միջին տարիքի կին շահառուների համար՝ մինչև 300 հազար դրամ արժեքով</t>
  </si>
  <si>
    <t>Միջին տարիքի (30-40 տարեկան) կանանց շրջանակներում փոխհատուցված զբաղվածության վաուչերների թվաքանակը</t>
  </si>
  <si>
    <t>Հաշվարկը հիմնված է շահառուների տարեկան թվի վրա (ելնելով կանանց շրջանում աշխատուժի թերօգտագործման փոփոխությունից), զբաղվածության վաուչերների արժեքի (որը կազմում է մոտավորացված 300 հ. ՀՀ դրամ) և տարեկան 4% գնաճի վրա:</t>
  </si>
  <si>
    <t>Ընտանեկան և սոցիալական նպաստ ստացող աշխատունակ շահառուների շրջանակներում փոխհատուցված և տրամադրված զբաղվածության վաուչերների հարաբերակցությունը</t>
  </si>
  <si>
    <t>Կարճաժամկետ ուսուցման ծրագրերի իրականացման պայմանների և ծրագրերի ապահովում զբաղվածության վաուչերային համակարգի ներդրմամբ սոցիալական նպաստ ստացող առանց սահմանափակումների աշխատունակ շահառուների համար՝ մինչև 500 հազար դրամ արժեքով</t>
  </si>
  <si>
    <t>Ընտանեկան և սոցիալական նպաստ ստացող աշխատունակ շահառուների շրջանակներում փոխհատուցված զբաղվածության վաուչերների թվաքանակը</t>
  </si>
  <si>
    <t>Զբաղվածության վաուչերների արժեք</t>
  </si>
  <si>
    <t>Մասնագիտական կրթության և ուսուցման ոլորտում  (ոչ ֆորմալ) ճկուն ու արդյունքների վրա հիմնված կրթական ծրագրերի զարգացում</t>
  </si>
  <si>
    <t>Դրամաշնորհի տրամադրում կառավարության կողմից սահմանված արտասահմանյան կազմակերպություններում սահմանված մասնագիտություններով (որակավորումներով) մրցութային կարգով ընտրված տարեկան մինչև 100 հոգու վերապատրաստման համար: Երիտասարդ մասնագետների վերապատրաստման շրջանակներում տրամադրվող աջակցությունն ընդգրկելու է`
1.վերապատրաստման հնարավորություններ գտնելու և համագործակցություն հաստատելու աջակցություն, 
2․ վիզային և աշխատանքի թույլտվություն ստանալու աջակցություն,
3. ուսնակներին կացարանով ապահովելու աջակցություն:
Անհրաժեշտ է նաև սահմանել ՀՀ վերադառնալու պարտադիր պայմանններ:</t>
  </si>
  <si>
    <t>Ընդլայնել WorldSkills մասնագիտական մրցույթների հարթակի հայկական նույնատիպը, որի միջոցով ամեն տարի տարբեր մասնագիտությունների շրջանակներում կանցկացվեն մրցույթներ` հաղթողներին ֆինանսական խրախուսմամբ</t>
  </si>
  <si>
    <t>Կազմակերպության կողմից ստեղծված երեխայի խնամքի ցերեկային կենտրոնների բացման կապիտալ ծախսերի որոշակի համաֆինանսավորում</t>
  </si>
  <si>
    <t>18-29 տարեկան երիտասարդներին ոչ ֆորմալ մասնագիտական ուսուցում (և երկակի աստիճանի ծրագրեր) ստանալու խրախուսում</t>
  </si>
  <si>
    <t>ԿԳՄՍՆ, ԱՍՀՆ</t>
  </si>
  <si>
    <t>ՊԵԿ</t>
  </si>
  <si>
    <t>ՀՀ փոխվարչապետի գրասենյակ</t>
  </si>
  <si>
    <t xml:space="preserve">Կարճաժամկետ ուսուցման ծրագրերից 18-29 տարեկան անձանց օգտվելու համար մինչև 300 հազար ՀՀ դրամ արժեքով զբաղվածության վաուչերների տրամադրման համակարգի ներդրում  </t>
  </si>
  <si>
    <t>3.3.1.3.i2</t>
  </si>
  <si>
    <t>3.3.1.3.i3</t>
  </si>
  <si>
    <t>3.3.1.3.i4</t>
  </si>
  <si>
    <t>4.2.1.1.i2</t>
  </si>
  <si>
    <t xml:space="preserve">ԿԳՄՍՆ, ԱՍՀՆ </t>
  </si>
  <si>
    <t>Կարիերայի ուղղորդման ազգային համակարգի համար պատասխանատու կառույցի կարողությունների զարգացում</t>
  </si>
  <si>
    <t xml:space="preserve">Դրամաշնորհային ծրագրի իրականացում ընդհանուր ոչ մասնագիտական հմտությունների և քոուչինգի համակարգի զարգացմամբ զբաղվող կազմակերպությունների շրջանակներում՝ ընտանեկան և սոցիալական նպաստ ստացող առանց սահմանափակումների աշխատունակ շահառուներին արդյունավետ սպասարկելու համար անհրաժեշտ հմտություններն ու կարողությունները զարգացնելու համար: </t>
  </si>
  <si>
    <t>Աշխատաշուկայի տվյալների շարունակական մշտադիտարկման, հավաքագրման և վերլուծության իրականացում`համապատասխան ծառայության ձեռքբերման միջոցով</t>
  </si>
  <si>
    <t xml:space="preserve">Աշխատանքային օրենսդրական կարգավորումների շարունակական բարելավում </t>
  </si>
  <si>
    <t xml:space="preserve">E-work.am հարթակի բարեփոխում, գործողությունների ընդլայնում
</t>
  </si>
  <si>
    <t xml:space="preserve">Ֆինանսական և թվային գրագիտության առցանց դասընթացի մշակում, այդ թվում` դրանց տրամադրում ՄՍԾ տարածքային կենտրոններում: Դասընթացը պարտադիր է զբաղվածության վաուչերային ծրագրի բոլոր մասնակիցների համար </t>
  </si>
  <si>
    <t>ԱՍՀՆ, ԿԳՄՍՆ</t>
  </si>
  <si>
    <t>Դրամաշնորհային ծրագրի իրականացում ընդհանուր ոչ մասնագիտական հմտությունների և քոուչինգի համակարգի զարգացմամբ զբաղվող կազմակերպությունների շրջանակներում՝ միջին տարիքի չաշխատող կանանց համար</t>
  </si>
  <si>
    <t>Բիզնեսի կառավարման անվճար դասընթացների կազմակերպում միջին տարիքի (30-40) չաշխատող կանանց համար</t>
  </si>
  <si>
    <t>ԷՆ, ԱՍՀՆ</t>
  </si>
  <si>
    <t xml:space="preserve">Ռազմավարության տարեկան վերանայում՝ հիմք ընդունելով կատարված վերլուծության արդյունքները
</t>
  </si>
  <si>
    <t>5.4.3.2.i1</t>
  </si>
  <si>
    <t>Միջոցառման իրականացման համար տեխնիկական աջակցության խորհրդատվության միջին արժեքի (ներառյալ ինտերակտիվ թվային հարթակի ստեղծումը)</t>
  </si>
  <si>
    <t>Աշխատանքային օրենսդրական կարգավորումների փոփոխությունների առկայություն</t>
  </si>
  <si>
    <t>Բարձր որակավորմամբ մասնագետներով համալրված, աշխատաշուկայի պահանջարկին համընթաց տեխնոլոգիաներ առաջարկող պատասխանատու կառույցի գործունեություն</t>
  </si>
  <si>
    <t>Առաջին անգամ աշխատաշուկա մուտք գործող 18-29 տարեկան երիտասարդներին վճարված աշխատավարձի մասնակի փոխհատուցում գործատուին, եթե աշխատավարձը սահմանվել է նվազագույն ամսական աշխատավարձի չափով</t>
  </si>
  <si>
    <t>Պետական աջակցություն ստացած մասնավոր ընկերությունների համար պարտավորության սահմանում տարեվերջին գրանցված աշխատողների 5%-ի չափով 18-29 տարեկան երիտասարդներին աշխատանքային պրակտիկայի ընդունելու վերաբերյալ</t>
  </si>
  <si>
    <t xml:space="preserve"> Հավելված 
              ՀՀ կառավարության 2025 թվականի 
______________ ____ -ի N ______ որոշման 
</t>
  </si>
  <si>
    <t xml:space="preserve">Կանանց զբաղվածության աճ՝  աշխատաշուկայում նրանց ներուժի ամբողջական և երկարաժամկետ իրացման, ինչպես նաև ձեռներեցության զարգացման միջոցով, մասնավորապես՝ թիրախավորելով միջին տարիքի (30-40) կանանց զբաղվածությունը
</t>
  </si>
  <si>
    <t>Արդյունաբերական գոտիներ ունեցող մարզային համայնքներում գործող ոչ ֆորմալ ուսուցում իրականացնող մասնագիտական կրթական պետական հաստատությունների կապիտալ ծախսերի փոխհատուցում, այդ թվում՝ կրթական և լաբորատոր սարքավորումների տրամադրում</t>
  </si>
  <si>
    <t>Արդյունաբերական գոտիներ ունեցող մարզային համայնքներում գործող ոչ ֆորմալ ուսուցում իրականացնող մասնագիտական կրթական հաստատությունների մանկավարժական կազմի վերապատրաստումներ՝ արդյունաբերական գոտու մասնագիտացմանը համապատասխան՝ լիազորված մարմնի կողմից հաստատված ընթացակարգին համապատասխան</t>
  </si>
  <si>
    <t>ՏԿԵՆ և համապատասխան համայնքապետարան</t>
  </si>
  <si>
    <t>Տվյալները պետք է հաշվարկվեն Տարածքային կառավարման և ենթակառուցվածքների նախարարության կողմից տարեկան կտրվածքով և ներառվեն ռազմավարության ցուցանիշների հաշվարկներում տարեկան վերանայման և թարմացման ժամանակ</t>
  </si>
  <si>
    <t>Ինտերակտիվ մասնագիտական վերապատրաստման հարթակի դասընթացների համակարգի` որպես այլընտրանքային ճկուն մոդելի զարգացում: Ինտերակտիվ մասնագիտական վերապատրաստման հարթակի գործարկում՝ դասընթացների նյութերի հայերեն թարգմանությամբ, անհրաժեշտության դեպքում նաև ՀՀ մարզային քաղաքներում տեղակայված Միասնական սոցիալական ծառայության տարածքային կենտրոնների (ինչպես նաև պետության կողմից ստեղծված Երիտասարդական կենտրոնների) տարածքում</t>
  </si>
  <si>
    <t>Ճանապարհային ենթակառուցվածքների զարգացման սուբվենցիոն ծրագրերի առաջնահերթության սահմանում արդյունաբերական գոտիներ ունեցող քաղաքները ներառող համայնքների համար: Նշված համայնքների քաղաքային և գյուղական բնակավայրերում պետության կողմից ներկայումս տրվող սուբվենցիոն ծրագրի ֆինանսավորման համամասնությունը ավելացվելու է մինչև 10 տոկոսային կետով</t>
  </si>
  <si>
    <t>Ի լրումն լիզինգի միջոցով ավտոբուսների ձեռքբերման օժանդակության տրամադրմանը`  ներհամայնքային փոխադրումների օպերացիոն ծախսերի սուբսիդավորում մինչև 50%-ի չափով` արդյունաբերական գոտիներ ունեցող մարզային քաղաքներ ներառող համայնքներում ներհամայնքային փոխադրումներ իրականացնելու նպատակով: Փոխադրումներ իրականացնող կազմակերպությունը պարտադիր պետք է ունենա սահմանված չվացուցակ</t>
  </si>
  <si>
    <t>Բարձր որակավորում ունեցող մասնագետների ներգրավման խթանում` արդյունաբերական գոտիներում գտնվող ընկերությունների կողմից ավելի քան 500 հազար ՀՀ դրամ վարձատրություն ստացող մասնագետների աշխատավարձի որոշակի փոխհատուցման միջոցով նման մասնագետների` արդյունաբերական գոտիներում գտնվող ընկերություններ տեղափոխվելու դեպքում: Միաժամանակ, կորոշվի վերադարձի վերին շեմը</t>
  </si>
  <si>
    <t>ՀՀ էկոնոմիկայի նախարարության կողմից իրականացվող «Բարձր որակավորում ունեցող մասնագետների ներգրավման նպատակային ծրագրի» շրջանակներում մշակված փոխհատուցման սանդղակի յուրաքանչյուր կետի դեպքում լրացուցիչ մինչև 10 տոկոսային կետով խթանի տրամադրում՝ արդյունաբերական գոտիներում միջազգային բարձրակարգ մասնագետների ներգրավման դեպքում</t>
  </si>
  <si>
    <t>Արդյունաբերական գոտիներում ներգրավված «Բարձր որակավորում ունեցող մասնագետների ներգրավման նպատակային ծրագրի» շահառուների թվաքանակը</t>
  </si>
  <si>
    <t>Կարճաժամկետ ուսուցման ծրագրերի իրականացման պայմանների և ծրագրերի ապահովում զբաղվածության վաուչերային համակարգի ներդրմամբ մարզային քաղաքները ներառող համայնքներում աշխատանքային տարիքի չաշխատող քաղաքացիների համար՝ մինչև 300 հազար ՀՀ դրամ արժեքով</t>
  </si>
  <si>
    <t>Ֆինանսական և թվային գրագիտության առցանց դասընթացի կազմակերպում։  Դասընթացը պարտադիր է զբաղվածության վաուչերային ծրագրի բոլոր մասնակիցների համար</t>
  </si>
  <si>
    <t>Ֆինանսական և թվային գրագիտության առցանց դասընթացն ավարտողների թվաքանակը</t>
  </si>
  <si>
    <t>Մարզային քաղաքները ներառող համայնքներում բնակարանաշինությանը և այլ հանրային ենթակառուցվածքների կառուցմանն աջակցող մեխանիզմների ներդրում, ինչպես նաև քաղաքացիների համար բնակարանների հասանելիության բարձրացում</t>
  </si>
  <si>
    <t>Բնակարան/առանձնատուն ձեռք բերելու համար կատարած ծախսի մասնակի փոխհատուցում այն շահառուների համար, որոնք աշխատում են արդյունաբերական գոտիների կազմակերպություններում, և որոնց կողմից ձեռքբերվող բնակարանը/առանձնատունը գտնվում է տվյալ արդյունաբերական գոտու մարզում</t>
  </si>
  <si>
    <t>Շինարարության խթանում մարզերում` բարձր որակավորում ունեցող մասնագետների (ավելի քան 500 հազար ՀՀ դրամ աշխատավարձ, 5 տարուց ավելի աշխատանք արդյունաբերական գոտու կազմակերպություններում) բնակարանի/առանձնատան ձեռքբերման հիփոթեքային վարկի մայր գումարի մինչև 50% սուբսիդավորման միջոցով</t>
  </si>
  <si>
    <t>Սուբվենցիոն ծրագրերի ընդլայնում` առաջնահերթություն տալով պետական արդյունաբերական գոտիներ ունեցող մարզային համայնքներին</t>
  </si>
  <si>
    <t>Մարզային քաղաքներում ենթակառուցվածքների զարգացման նպատակով կապիտալ ներդրումների իրականացում, մասնավորապես՝ հատուկ տնտեսական գոտիների ստեղծում, ինչպես նաև միջքաղաքային հաղորդակցության, էներգետիկ, սոցիալական ենթակառուցվածքների զարգացում</t>
  </si>
  <si>
    <t xml:space="preserve">«Արդյունաբերական քաղաքականության մասին» ՀՀ օրենքի (ընդունված 19/11/2014) լրամշակում` հատուկ տնտեսական գոտի եզրույթի ներդրմամբ </t>
  </si>
  <si>
    <t>Արդյունաբերական գոտիների պետական ծրագրի մշակում: Ընտրված խորհրդատվական ընկերությունը/ընկերությունների խումբը, քարտեզագրման միջոցով պետք է վեր հանի ՀՀ մարզերի համեմատական առավելությունները, արդյունաբերական գոտիների պոտենցիալ մասնագիտացումները և արդյունաբերական գոտի ստեղծելու ֆինանսական ռեսուրսների անհրաժեշտությունը։ Առաջին 3 տարում ծրագրվում է բացել 3 արդյունաբերական գոտի</t>
  </si>
  <si>
    <t>Պետական արդյունաբերական գոտիների օպերատորի ընտրության իրականացում: ՀՀ կառավարությունը, մրցութային կարգով, ընտրելու է արդյունաբերական գոտիների պրոֆեսիոնալ օպերատորների։ Մրցույթին մասնակցելու են նաև օտարերկյա կազմակերպությունները</t>
  </si>
  <si>
    <t>Սույն ծրագրով հաստատված լիզինգային պայմանագրերի ընդհանուր ծավալը, հ. ՀՀ դրամ</t>
  </si>
  <si>
    <t xml:space="preserve">Արդյունաբերական գոտիներում գտնվող կազմակերպությունների՝ առևտրի ֆինանսավորման վարկերի տոկոսների ֆինանսավորում` բանկի տրված տոկոսի որոշակի մասով, եթե վարկի արժեքը չի գերազանցում 2 միլիարդ դրամը, իսկ սուբսիդավորման տևողությունը՝ 2 տարի </t>
  </si>
  <si>
    <t>Լրացուցիչ վերանայել Երևանում գտնվող արդյունաբերական նշանակության տարածքների գույքահարկի հաշվարկման գործակիցը ի լրումն արդեն կատարված բարձրացման</t>
  </si>
  <si>
    <t>«Արդյունաբերական գոտու շահագործողի» սերտիֆիկատի համակարգի մշակում, որը ենթադրում է վճարված հարկերի հետվերադարձ՝  շահութահարկի մինչև 100%-ի և եկամտահարկի մինչև 50%-ի չափով` 5 տարի ժամկետով: Սերտիֆիկատի պահանջները ներկայացնում է պետությունը, սերտիֆիկատացման համար դիմումը՝ արդյունաբերական գոտու օպերատորը</t>
  </si>
  <si>
    <t>«Արդյունաբերական գոտու շահագործողի» սերտիֆիկատ ստացած ընկերությունների թվաքանակը</t>
  </si>
  <si>
    <t>«Արդյունաբերական գոտու շահագործողի» սերտիֆիկատ ստացած ընկերությունների ընդհանուր աշխատողների թվաքանակը</t>
  </si>
  <si>
    <t>«Արդյունաբերական գոտու շահագործողի» սերտիֆիկատ ստացած ընկերությունների ընդհանուր եկամուտը, հ. ՀՀ դրամ</t>
  </si>
  <si>
    <t>«Արդյունաբերական գոտու շահագործողի» սերտիֆիկատ ստացած ընկերությունների աշխատողների միջին աշխատավարձը, հ. ՀՀ դրամ</t>
  </si>
  <si>
    <t>Իրականացնել հատուկ աջակցության ծրագրեր՝ նպաստելով մարզային քաղաքներում գործող և նորաստեղծ արդյունաբերական ձեռնարկությունների զարգացմանը</t>
  </si>
  <si>
    <t>Մարզային քաղաքներում գործող արդյունաբերական կազմակերպությունների` առևտրի ֆինանսավորման վարկի սուբսիդավորում բանկի տրված տոկոսի որոշակի մասով, եթե վարկի արժեքը չի գերազանցում 1 մլրդ դրամը, իսկ սուբսիդավորման տևողությունը՝ 2 տարին</t>
  </si>
  <si>
    <t>Արդյունաբերական կազմակերպությունների համար աքսելերացիոն ծրագրի իրականացում` ուսուցողական, մասնագիտական խորհրդատվության, տեղեկատվական, ինչպես նաև ֆինանսական աջակցության տրամադրման բաղադրիչների ներառմամբ (դրամաշնորհներ ընտրված ծրագրերին): Ծրագիրն իրականացվելու է՝ հիմք ընդունելով ՓՄՁ Զարգացման ազգային կենտրոնի «Հաջող սկիզբ» ծրագիրը:</t>
  </si>
  <si>
    <t>Հաշվարկը հաշվի է առնում սույն ծրագրով հաստատված լիզինգային պայմանագրերի միջին ծավալը մեկ ընկերության համար (հիմնված լիզինգի սուբսիդավորման ծրագրերի վրա, որը 2023 թվականին կազմում է մոտավորացված 60 մլն ՀՀ դրամ), շահառու ընկերությունների թիվը (որը 2023 թվականին կազմում է մոտավորացված 50), ինչպես նաև տոկոսադրույքի սուբսիդավորվող մասնաբաժինը (18%-ի 50%-ը):</t>
  </si>
  <si>
    <t>Հաշվարկը հաշվի է առնում սույն ծրագրով հաստատված  պայմանագրերի միջին ծավալը մեկ ընկերության համար (հիմնված  սուբսիդավորման ծրագրերի վրա, որը 2023 թվականին կազմում է մոտավորացված 56 մլն ՀՀ դրամ), շահառու ընկերությունների թիվը (որը 2023 թվականին կազմում է մոտավորացված 10), ինչպես նաև տոկոսադրույքի սուբսիդավորվող մասնաբաժինը (20%-ի 50%-ը):</t>
  </si>
  <si>
    <t>Հաշվարկը հաշվի է առնում մեկ ընկերության միջին շահույթը (հաշվարկված արդյունաբերական ոլորտի ցուցանիշների հիման վրա (հաշվարկված ընդհանուր եկամտի 10%)) և սուբսիդավորվող շահութահարկը (18%), ինչպես նաև աշխատողների թիվը բազմապատկած ոչ գյուղատնտեսական ոլորտում միջին աշխատավարձով (հաշվարկված ռազմավարական նպատակի ցուցանիշներով) և  եկամտահարկի վերադարձի չափը (20%-ի 50%-ը)</t>
  </si>
  <si>
    <t>Հաշվարկը հաշվի է առնում խորհրդատվական աջակցության արդյունքում 1.2.2 և 1.2.4 կետերում նշված պետական ​​ֆինանսական աջակցության ծրագրերի շրջանակներում հաստատված վարկերի թիվը, խորհրդատվական ծառայությունների միջին արժեքը (մեկ ստորագրված վարկային պայմանագրի համար խորհրդատուին հաջողության վճարի գնահատված միջին մակարդակը (որը կազմում է մոտավորացված 400 հ. ՀՀ դրամ)), տարեկան գնաճը</t>
  </si>
  <si>
    <t>Հաշվարկը հաշվի է առնում սույն ծրագրով հաստատված  պայմանագրերի միջին ծավալը մեկ ընկերության համար (հիմնված  սուբսիդավորման ծրագրերի վրա, որը 2023 թվականին կազմում է մոտավորացված 50 մլն ՀՀ դրամ), արդյունաբերական գոտում գտնվող ընկերությունների թիվը, ինչպես նաև տոկոսադրույքի սուբսիդավորվող մասնաբաժինը (20%-ի 75%):</t>
  </si>
  <si>
    <t>Հաշվարկը հաշվի է առնում սույն ծրագրով հաստատված լիզինգային պայմանագրերի միջին ծավալը մեկ ընկերության համար (հիմնված լիզինգի սուբսիդավորման ծրագրերի վրա, որը 2023 թվականին կազմում է մոտավորացված 90 մլն ՀՀ դրամ), արդյունաբերական գոտում գտնվող ընկերությունների թիվը, ինչպես նաև տոկոսադրույքի սուբսիդավորվող մասնաբաժինը (18%-ի 75%-ը):</t>
  </si>
  <si>
    <t>Այս ծրագրի համար խորհրդատվական ծառայությունների աութսորսինգի միջին շուկայական արժեքը (որը կազմում է մոտավորացված 60 մլն ՀՀ դրամ): 2024 թվականին նախատեսվում է իրականացնել արդյունաբերական գոտիների զարգացման ներուժի մեծ քարտեզագրում և ուսումնասիրություն՝ ըստ մարզերի։ Հետագայում յուրաքանչյուր պետական ​​արդյունաբերական գոտու համար ակնկալվում է խորհրդատվական ծախսեր՝ յուրաքանչյուր առանձին արդյունաբերական գոտու ներուժի վերաբերյալ ուսումնասիրություն իրականացնելու համար:</t>
  </si>
  <si>
    <t>Տվյալ մասնավոր նպատակի  ծրագրերի ցուցանիշների գումարը</t>
  </si>
  <si>
    <t>Հաշվարկը հիմնված է մարզերում հիմնանորոգված դպրոցների տարեկան թվի վրա, որը փոխկապակցված է ստեղծված արդյունաբերական գոտիների (և պետական, և մասնավոր) թվի հետ։ Հաշվարկում հաշվի է առնվել նաև մեկ ուսումնական հաստատության վերանորոգման համար կապիտալ ներդրումների միջին արժեքը (2023 և 2024 թվականների պետական ​​բյուջեների տվյալների հիման վրա, որը կազմում է մոտավորացված 40 մլն ՀՀ դրամ), ինչպես նաև 4% տարեկան գնաճը։</t>
  </si>
  <si>
    <t>Հաշվարկը հիմնված է «Բարձր որակավորում ունեցող մասնագետների ներգրավման նպատակային» ծրագրի շահառուների (այս ցուցանիշը ավելի քիչ է, քան վերը նշված ցուցանիշը` հաշվի առնելով ավելի շատ պահանջները) թվի վրա (որն աճում է ոչ գյուղատնտեսական զբաղվածության աճի և արդյունաբերական գոտիների աճի հետ միասին), միջին աշխատավարձի (որը կազմում է մոտավորացված 2 000 հ. ՀՀ դրամ), 4%  տարեկան գնաճի և սուբսիդավորվող մասնաբաժնի վրա։</t>
  </si>
  <si>
    <t>Հաշվարկը հիմնված է բարձրակարգ մասնագետների թվի վրա (որն աճում է ոչ գյուղատնտեսական զբաղվածության աճի և արդյունաբերական գոտիների աճի հետ միասին), միջին աշխատավարձի (որը կազմում է մոտավորացված 500 հ. ՀՀ դրամ), 4% տարեկան գնաճի և սուբսիդավորվող մասնաբաժնի վրա։</t>
  </si>
  <si>
    <t>Հաշվարկում օգտագործվում են հետևյալ ցուցանիշները՝ համայնքներում ավտոբուսների միջին թիվը (2024 թվականինին - 1200, որն ավելանում է թիրախային խմբում զբաղվածության աճին համապատասխան), նորացված ավտոբուսների նպատակային տեսակարար կշիռը, մեկ ավտոբուսի արժեքը (որը կազմում է մոտավորացված 40 մլն ՀՀ դրամ), ինչպես նաև սուբսիդավորվող տոկոսադրույքի մասնաբաժինը:</t>
  </si>
  <si>
    <t>Հաշվարկը հիմնված է թարմացված  ոչ ֆորմալ ուսուցում իրականացնող մասնագիտական կրթական հաստատությունների տարեկան թվի վրա, որը փոխկապակցված է ստեղծված արդյունաբերական գոտիների (և պետական, և մասնավոր) թվի հետ։ Հաշվարկը հաշվի է առնում նաև խորհրդատվական ծառայությունների միջին արժեքը (որը կազմում է մոտավորացված 20 մլն ՀՀ դրամ) համապատասխանեցված կրթական ծրագրերի պատրաստման համար:</t>
  </si>
  <si>
    <t>Զբաղվածության ծրագիր (հաշվի են առնվել միայն այն զբաղվածության ռազմավարության ծրագրերը, որոնք գտնվում են Աշխատանքի և սոցիալական հարցերի նախարարության պատասխանատվության ներքո), մլրդ դրամ</t>
  </si>
  <si>
    <t>ՀՀ-ում հանրային աշխատանքներում ընդգրկված անձանց և ընտանեկան ու սոցիալական նպաստ ստացող շահառուների թվաքանակի հարաբերություն, %</t>
  </si>
  <si>
    <t>Հանրային աշխատանքներում ընդգրկված անձանց թվաքանակի հարաբերությունը ընտանեկան ու սոցիալական  նպաստ ստացող ընտանիքների թվաքանակին (ՀՀ ընդամենը)</t>
  </si>
  <si>
    <t>Հանրային աշխատանքներում ընդգրկված անձանց թիվ, մարդ</t>
  </si>
  <si>
    <t>Հաշվետվություն ՀՀ պետական բյուջեի ելքային ծրագրերի և միջոցառումների գծով արդյունքային (կատարողական) ցուցանիշների կատարման վերաբերյալ` ըստ բյուջետային հատկացումների գլխավոր կարգադրիչների։ Հանրային աշխատանքների իրականացման ապահովում։</t>
  </si>
  <si>
    <t>Հաշվի առնելով այս ցուցանիշի պատմական CAGR-ի և զբաղվածության ընդհանուր աճի միջև միջին աճը  (ինչը թույլ է տալիս կապել այս ցուցանիշի աճը երկրի ցուցանիշների հետ՝ հաշվի առնելով ցածր բազայի ազդեցության նվազող ազդեցությունը): 2025 թվականից սկսած աճի տեմպերն աստիճանաբար նվազում են՝ հաշվի առնելով ավելացված բազային ցուցանիշը։</t>
  </si>
  <si>
    <t xml:space="preserve">Հաշվարկը հիմնված է ՀՆԱ-ի կանխատեսվող աճը արագացված աճի սցենարի վրա - 8,0% CAGR  </t>
  </si>
  <si>
    <t>Հաշվի առնելով չսովորող և չաշխատող երիտասարդների ցուցանիշի փոփոխությունը</t>
  </si>
  <si>
    <t>2023 թվականը դիտարկվել է ըստ պատմական CAGR-ի: Նախատեսվող աճը գնահատվել է՝ հաշվի առնելով ՀՆԱ-ի կանխատեսվող աճը արագացված աճի սցենարի - 8,0% CAGR: Հաշվարկում հաշվի է առնվել նաև հիմնական պարենային զամբյուղի տարեկան 4% գնաճը։</t>
  </si>
  <si>
    <t xml:space="preserve">Հաշվարկը հիմնված է պատմական CAGR-ի վրա: Հաշվարկը հաշվի է առնում նաև գյուղատնտեսական զբաղվածությունից արագացված ելքը </t>
  </si>
  <si>
    <t>Կանխատեսվող CAGR-ը = ՀՆԱ-ի կանխատեսվող աճը Արագացված աճի սցենարի - 8,0% CAGR/ Զբաղվածների կանխատեսվող աճը Արագացված աճի սցենարի - 2,5% CAGR (2023 թվականը դիտարկվել է ըստ իներցիոն սցենարի, իսկ զբաղվածների կանխատեսվող աճը հաշվարկվել է ըստ պատմական 2018-2022 թվականների CAGR-ի)</t>
  </si>
  <si>
    <t>Բարձր միջին եկամուտ ունեցող երկրներ - մեկ զբաղվածի հաշվով ՀՆԱ (համարժեք գնողունակության 2017 թ.-ի հաստատուն գներ)</t>
  </si>
  <si>
    <t>Հայաստան - մեկ զբաղվածի հաշվով ՀՆԱ (համարժեք գնողունակության 2017 թ.-ի հաստատուն գներ)</t>
  </si>
  <si>
    <t>ՀՀ-ում մեկ զբաղվածի հաշվով ՀՆԱ-ի հարաբերությունը բարձր միջին եկամուտ ունեցող երկրներում միևնույն ցուցանիշի մեծությանը (հաշվարկված՝ համարժեք գնողունակության 2017 թ.-ի հաստատուն գներով)</t>
  </si>
  <si>
    <t xml:space="preserve">ՀՀ 20-29 տարեկան չսովորող և չաշխատող երիտասարդների  և զբաղվածների թվաքանակի հարաբերություն, % </t>
  </si>
  <si>
    <t>Հաշվարկում հաշվի է առնվել «Նախնական (արհեստագործական) և միջին մասնագիտական կրթություն» ծրագրով 2024 թվականի պետական ​​բյուջեում ներառված ծախսերը (որը կազմում է մոտավորացված 15 863,95 մլն ՀՀ դրամ), ինչպես նաև ՀՆԱ-ի արագացված աճի սցենարով կանխատեսվող աճը (8,0% CAGR) ու ոչ ֆորմալ մասնագիտական կրթության մրցակցային հիմունքներով իրականացվող պետական ​​ֆինանսավորման մասնաբաժինը:</t>
  </si>
  <si>
    <t xml:space="preserve">Ոչ ֆորմալ ուսուցում իրականացնող մասնագիտական կրթական հաստատությունների զարգացում` մրցույթային համակարգի ներդրմամբ։ (Ներդնել համակարգ` ոչ ֆորմալ ուսուցում իրականացնող մասնագիտական կրթության և ուսուցման հաստատությունների զարգացման նպատակով, որը կբարձրացնի մրցակցությունը և, հետևաբար նաև, որակն այդ շրջանակում) </t>
  </si>
  <si>
    <t>Ծրագրի շրջանավարտների թվի փոփոխությունն ուղիղ համեմատական ​​է չսովորող և չաշխատող երիտասարդների թվի նվազմանը։ Հաշվարկը հաշվի է առնում հետևյալ տվյալները. շրջանավարտների 50%-ը կվերապատրաստվի արդյունավետ ծրագրով, 50 ուսանողի համար անհրաժեշտ է մեկ ուսուցիչ, մեկ ուսուցչի աշխատավարձը կազմում է ամսական 500 հազար դրամ և տարեկան աճում է ՀՆԱ-ի արագացված աճի տեմպերին (8,0% CAGR) համապատասխան</t>
  </si>
  <si>
    <t>Հաշվարկը հիմնված է շահառուների տարեկան թվի վրա (հաշվարկվում է չսովորող, չաշխատող երիտասարդների կրճատման հիման վրա), զբաղվածության վաուչերների արժեքի (որը կազմում է մոտավորացված 300 հ. ՀՀ դրամ) և տարեկան 4% գնաճի վրա:</t>
  </si>
  <si>
    <t>Հաշվարկը հիմնված է շահառուների տարեկան թվի վրա (հաշվարկվում է չսովորող, չաշխատող երիտասարդների կրճատման հիման վրա), մասնագիտական ​​վերապատրաստման ծրագրի միջին արժեքի (որը կազմում է մոտավորացված 100 հ. ՀՀ դրամ) և տարեկան 4% գնաճի վրա:</t>
  </si>
  <si>
    <t>«Լավագույն երիտասարդ մասնագետ» ամենամյա դրամաշնորհային մրցույթի անցկացում: Կրթական հաստատությունների ծրագրերում ներառված մասնագիտությունների շրջանակներում մրցույթի անցկացում, որի արդյունքում ընտրված լավագույն երիտասարդ մասնագետին կտրամադրվի մինչև 500,000 դրամ դրամաշնորհ: Մասնագիտական ​​ոլորտները հաստատվում են պատասխանատու մարմնի կողմից ամեն տարի:</t>
  </si>
  <si>
    <t>«Լավագույն երիտասարդ մասնագետ» ամենամյա դրամաշնորհային մրցույթի մասնակիցների թվաքանակը</t>
  </si>
  <si>
    <t>Երկակի աստիճանի ծրագրերի իրականացում՝ արտերկրի լավագույն կրթական հաստատությունների հետ համատեղ, որոնց ցանկը սահմանվում է ՀՀ կառավարության կողմից</t>
  </si>
  <si>
    <t>Իրականացված դրամաշնորհային ծրագրերի քանակը</t>
  </si>
  <si>
    <t>Աշխատանքի տեղավորման գործակալություններին պետության կողմից աջակցության տրամադրում՝ յուրաքանչյուր 18-29 տարեկան, առաջին անգամ աշխատաշուկա մուտք գործած երիտասարդի աշխատանքի անցնելու և առնվազն մեկ տարի աշխատելու դեպքում</t>
  </si>
  <si>
    <t>18-29 տարեկան երիտասարդների թվաքանակը, ովքեր աշխատանքի աջակցության ծառայություններ ստանալուց հետո անցել են աշխատանքի և առնվազն մեկ տարի աշխատել</t>
  </si>
  <si>
    <t>18-29 տարեկան, առաջին անգամ աշխատաշուկա մուտք գործած երիտասարդների թվի աճն ուղիղ համեմատական ​​է թիրախային խմբում զբաղվածության աճին, ինչպես նաև միջին աշխատավարձի աճին։ Հաշվարկը հաշվի է առնում հետևյալ բաղադրիչները՝ 18-29 տարեկան երիտասարդների թվաքանակը, ովքեր աշխատանքի աջակցության ծառայություններ ստանալուց հետո անցնել են աշխատանքի և առնվազն մեկ տարի աշխատել, աշխատանքի տեղավորման գործակալություններին հավելավճարը (50 հազար դրամ յուրաքանչյուր երիտասարդի համար), ինչպես նաև տարեկան 4% գնաճ:</t>
  </si>
  <si>
    <t>Պարտադիր զինվորական ծառայության վերջին 6 ամսում «Հմտություններ սովորելու համար» ծրագրի իրականացում: Ծրագրի շրջանակներում կբարելավվի շահառուների այն հմտությունները (հայոց լեզու, օտար լեզու, մաթեմատիկա, համակարգչային գրագիտություն, ֆինանսական ու մեդիագրագիտություն, փափուկ հմտություններ), որոնք կարևոր են մասնագիտական կրթություն ստանալու և կողմնորոշման համար:</t>
  </si>
  <si>
    <t>Շահառուների թվի փոփոխություններն ուղիղ համեմատական ​​են տվյալ տարիքային խմբի ժողովրդագրական փոփոխություններին (հիմնված ժողովրդագրական կանխատեսման մոդելի վրա): Հաշվարկը հիմնված է շահառուների տարեկան թվի վրա, ​​վերապատրաստման ծրագրի միջին արժեքի (որը կազմում է մոտավորացված 50 հ. ՀՀ դրամ) և տարեկան 4% գնաճի վրա:</t>
  </si>
  <si>
    <t>Ինտերակտիվ մասնագիտական վերապատրաստման հարթակի տարեկան մինչև 5 դասընթացի բաժանորդագրման տրամադրում պարտադիր զինվորական ծառայությունից վերադարձած շահառուներին</t>
  </si>
  <si>
    <t>Մենթորության դրամաշնորհային ծրագրի իրականացման համար համագործակցության հարթակի ստեղծում, որտեղ կամավորության հիմունքներով կներգրավվեն տարբեր բնագավառներում հաջողության հասած մարդիկ, ովքեր պատրաստ կլինեն ամսական 5 ժամ տրամադրել ծառայությունից վերադարձած երիտասարդներին՝ մեկ տարի ժամկետով</t>
  </si>
  <si>
    <t>Հաշվարկը հաշվի է առնում հետևյալ բաղադրիչները՝  պարտադիր զինվորական ծառայությունից զորացրվելուց հետո մեկ տարվա ընթացքում աշխատանքի տեղավորված գործազուրկի կարգավիճակ ունեցող անձանց մասնաբաժինը, միջին ամսական զուտ աշխատավարձը/եկամուտը ՀՀ-ում, վճարված եկամտահարկի կեսի չափով վերադարձը</t>
  </si>
  <si>
    <t>Պարտադիր զինվորական ծառայությունից վերադարձած երիտասարդների` վերադառնալուց հետո մեկ տարվա ընթացքում աշխատանքի տեղավորվելու դեպքում վճարված եկամտահարկի որոշ մասի վերադարձ գործատուին՝ աշխատանքի տեղավորվելու պահից սկսած որոշ ժամանակահատվածով</t>
  </si>
  <si>
    <t>Պարտադիր զինվորական ծառայությունից զորացրվելուց հետո մեկ տարվա ընթացքում աշխատանքի տեղավորված գործազուրկի կարգավիճակ ունեցող անձանց մասնաբաժինը, %</t>
  </si>
  <si>
    <t>Զորացրվելուց հետո մեկ տարվա ընթացքում աշխատանքի տեղավորված գործազուրկի կարգավիճակ ունեցող անձանց թվաքանակի հարաբերությունը գործազուրկի կարգավիճակ ունեցող զորացրված անձանց թվաքանակին</t>
  </si>
  <si>
    <t>Դրամաշնորհային ծրագրի շրջանակներում պարտադիր զինվորական ծառայությունից վերջին մեկ տարում զորացրված երիտասարդների համար բիզնես աքսելերացիոն ծրագրի իրականացում` ուսուցողական, մասնագիտական խորհրդատվության, տեղեկատվական, ինչպես նաև ֆինանսական աջակցության տրամադրման բաղադրիչների ներառմամբ (դրամաշնորհներ ընտրված ծրագրերին)</t>
  </si>
  <si>
    <t>Հաշվարկը հաշվի է առնում, որ մասնակիցների X%-ը հաջողությամբ կավարտի ծրագիրը և կստանա պարգև 5 մլն դրամի չափով (2025-ից 2030 թվականների ընթացքում ծրագիրը հաջողությամբ ավարտած մասնակիցների մասնաբաժինը աճում է 5-ից մինչև 20 տոկոս)։ Հաշվի են առնվել նաև ծրագրի կազմակերպման ծախսերը՝ մեկ մասնակցի համար 50 հազար դրամի չափով</t>
  </si>
  <si>
    <t>Զորացրված երիտասարդներին մասնագիտական կրթություն մատչելիորեն ստանալու իրավունքի ապահովում` ինչպես ՄԿՈւ, այնպես էլ բուհական մակարդակներում՝ գերակա ճանաչված ուղղություններով (զորացրվելուց հետո մեկ տարվա ընթացքում)</t>
  </si>
  <si>
    <t>Աշխատանքային ռեսուրսները հաշվարկվել են ՀՀ ժողովրդագրական իրավիճակի բարելավման ռազմավարության շրջանակներում մշակված  բնակչության կանխատեսման հիման վրա: Բարձրագույն կրթություն ունեցող տղամարդկանց թիվը փոխվում է պատմական ցուցանիշներին համապատասխան մինչև 2027 թվականը (մինչև միջոցառման մեկնարկը), որից հետո այդ ցուցանիշը տարեկան ավելանում է պարտադիր զինվորական ծառայություն ավարտողների տարեկան թվի 30%-ով։ Հաշվարկը հաշվի է առնում, որ պարտադիր զինվորական ծառայությունն ավարտածների մեկ երրորդը կօգտվի անվճար բարձրագույն կրթության իրավունքից, ինչպես նաև բուհում մեկ ուսանողի ուսման 1 տարվա միջին արժեքը (600 հազար դրամ) եւ տարեկան 4% գնաճ</t>
  </si>
  <si>
    <t>Պետական աջակցության ծրագրերից օգտված մասնավոր կազմակերպությունների կողմից դպրոցներում կարիերայի ուղղորդման միջոցառումների իրականացում` կնքված համագործակցության հուշագրի համաձայն: Մասնավոր կազմակերպությունների ցանկը հրապարակվելուց հետո դպրոցները պարտավորվում են ընտրել ու դիմել առնվազն 3 կազմակերպության` կարիերայի կրթության միջոցառումների  (էքսկուրսիաներ, այցեր, դասախոսություններ և այլն) իրականացնելու նպատակով</t>
  </si>
  <si>
    <t>Կնքված համագործակցության հուշագրերի թվաքանակը</t>
  </si>
  <si>
    <t>Ծրագրի շահառուների աճի տեմպի հարաբերակցությունը 20-24 տարեկան չսովորող և չաշխատող երիտասարդների թվի նվազման տեմպին (մեկ տարվա տարբերությամբ)</t>
  </si>
  <si>
    <t>Հուշագրերի թիվը հաշվարկվում է 2021 թվականի հանրակրթական դպրոցների թվաքանակի հիման վրա (թիվը կանխատեսվում է 6-18 տարիքային խմբի ժողովրդագրական կանխատեսման մոդելի հիման վրա), ինչպես նաև հուշագրեր ստորագրած դպրոցների մասնաբաժնի հիման վրա (սկսած 2025-ից մինչև 2030 թվականը այս ցուցանիշը 5%-ից հասնում է 35%-ի): Ծրագրի մասնակիցների թիվը հաշվարկվում է՝ ելնելով 2021 թվականի մեկ հանրակրթական դպրոցում սովորողների միջին թվից (թիվը կանխատեսվում է 6-18 տարիքային խմբի ժողովրդագրական կանխատեսման մոդելի հիման վրա) և հուշագրեր ստորագրած դպրոցների թվի հիման վրա։ Ծախսերը ներկայացնում են մասնավոր հատվածի (ոչ պետական ​​բյուջեի) ծախսերը՝ մեկ մասնակցի համար 2 հազար դրամ հաշվարկով։</t>
  </si>
  <si>
    <t>Աշխատանքային պրակտիկայի վերաբերյալ մոնիթորինգային հաշվետվության ստացում ՀՀ ՊԵԿ-ից / ՀՀ աշխատանքի և սոցիալական հարցերի նախարարությունից</t>
  </si>
  <si>
    <t>Աշխատանքային պրակտիկայից հետո առաջին անգամ աշխատաշուկա մուտք գործած 18-29 տարեկան երիտասարդներին մինչև 6 ամսով որոշակի սուբսիդիայի տրամադրում</t>
  </si>
  <si>
    <t>18-29 տարեկան զբաղված երիտասարդների թվաքանակը</t>
  </si>
  <si>
    <t>Ենթադրվում է, որ երիտասարդների նվազագույն աշխատավարձի նվազեցումը կբարձրացնի զբաղվածությունն այս թիրախային խմբում (ինչն ավելի կարևոր է երկարաժամկետ հեռանկարում՝ աշխատանքի վայրում մասնագիտական ​​հմտությունների զարգացման տեսանկյունից): Նվազագույն աշխատավարձի 20%-ով կրճատումը կարող է հանգեցնել տվյալ խմբից ստացված եկամտահարկի (20%) նվազմանը նվազագույն աշխատավարձի 20%-անոց նվազման 20%-ը չգերազանցող չափով:</t>
  </si>
  <si>
    <t xml:space="preserve">Տնտեսության կոնկրետ ճյուղերի զարգացման խթանում․ տվյալ ճյուղում ճկուն աշխատանքային գրաֆիկով աշխատելու պարագայում պետական աջակցություն գործատուին՝ աշխատավարձից վճարված եկամտահարկի վերադարձի տեսքով </t>
  </si>
  <si>
    <t xml:space="preserve">Առաջին անգամ աշխատաշուկա մուտք գործած երիտասարդների վճարված եկամտահարկի մինչև 50% վերադարձ գործատուին՝ աշխատանքի ընդունան պահից մեկ տարվա ընթացքում </t>
  </si>
  <si>
    <t>Առաջին անգամ աշխատաշուկա մուտք գործած երիտասարդների եկամտահարկի մինչև 75% վերադարձ գործատուին՝ մեկ տարի ժամանակով` մարզային քաղաքներում աշխատանքի անցնելու դեպքում</t>
  </si>
  <si>
    <t>Առաջին անգամ աշխատաշուկա մուտք գործած երիտասարդների եկամտահարկի մինչև 100%  վերադարձ գործատուին՝ որոշակի ժամանակահատվածով` արդյունաբերական գոտիներում գործող կազմակերպություններում աշխատանքի անցնելու դեպքում</t>
  </si>
  <si>
    <t>Մարզային քաղաքներում աշխատանքի անցած երիտասարդների մասնաբաժնի աճը համաչափ է մարզային քաղաքներում զբաղվածության աճին: Հաշվարկը հաշվի է առնում հետևյալ բաղադրիչները՝ մարզային քաղաքներում առաջին անգամ աշխատաշուկա մուտք գործած երիտասարդների թիվը (ընդհանուրի 70%-ը), միջին տարեկան աշխատավարձը, եկամտահարկի լրացուցիչ 25% (ընդհանուր 75%) վերադարձը։</t>
  </si>
  <si>
    <t>Արդյունաբերական գոտիներում աշխատանքի անցած երիտասարդների մասնաբաժնի աճը համաչափ է արդյունաբերական գոտիներում զբաղվածության աճին: Հաշվարկը հաշվի է առնում հետևյալ բաղադրիչները՝ արդյունաբերական գոտիներում առաջին անգամ աշխատաշուկա մուտք գործած երիտասարդների թիվը (ընդհանուրի 10%-ը), միջին տարեկան աշխատավարձը, եկամտահարկի լրացուցիչ 25% (ընդհանուր 75%) վերադարձը։</t>
  </si>
  <si>
    <t xml:space="preserve">Կանանց զբաղվածության աճ՝  աշխատաշուկայում նրանց ներուժի ամբողջական և երկարաժամկետ իրացման, ինչպես նաև ձեռներեցության զարգացման միջոցով, մասնավորապես՝ թիրախավորելով միջին տարիքի (30-40 տարեկան) կանանց զբաղվածությունը
</t>
  </si>
  <si>
    <t>Այս ծրագրի շահառուների մասնաբաժինը միջին տարիքի (30-40) չաշխատող կանանց թվաքանակի մեջ</t>
  </si>
  <si>
    <t>Ծրագիրն ավարտածների թվաքանակը</t>
  </si>
  <si>
    <t>Շահառուների թիվը հաշվարկվել է՝ ելնելով կանանց շրջանում աշխատուժի թերօգտագործման փոփոխությունից, ինչպես նաև ուղիղ համեմատական ​​է այս ծրագրի 2025 թվականի բազային տարվա համեմատ տվյալ թիրախային խմբի միջին աշխատավարձերի աճի տեմպերին: Հաշվարկը հաշվի է առնում հետևյալ տվյալները. շրջանավարտների 50%-ը կվերապատրաստվի արդյունավետ ծրագրով, 50 ուսանողի համար անհրաժեշտ է մեկ ուսուցիչ, մեկ ուսուցչի աշխատավարձը կազմում է ամսական 500 հազար դրամ և տարեկան աճում է ՀՆԱ-ի արագացված աճի տեմպերին (8,0% CAGR) համապատասխան</t>
  </si>
  <si>
    <t>Ստեղծված երեխայի խնամքի ցերեկային կենտրոնների թվաքանակը հաշվարկելիս հաշվի է առնվել ստեղծված արտադրական գոտիների թիվը, ինչպես նաև խոշոր ձեռնարկությունների հնարավոր ներգրավվածությունն ու թիվը։  Հաշվարկում հաշվի է առնվել նաև մեկ ուսումնական հաստատության վերանորոգման համար կապիտալ ներդրումների միջին արժեքը (2023 և 2024 թվականների պետական ​​բյուջեների տվյալների հիման վրա, որը կազմում է մոտավորացված 40 մլն ՀՀ դրամ), ինչպես նաև 4% տարեկան գնաճը։</t>
  </si>
  <si>
    <t>Սուբսիդավորվող աշխատանքին նպաստող մեխանիզմների ներդրում միջին տարիքի (30-40) կանանց համար (աշխատավարձի մասնակի փոխհատուցում և/կամ եկամտահարկի վերադարձ)</t>
  </si>
  <si>
    <t>Զբաղվածների մասնաբաժինն աշխատանքային ռեսուրսների նկատմամբ (ՀՀ կին բնակչություն, 30-39 տարեկան)</t>
  </si>
  <si>
    <t xml:space="preserve">Տնտեսության կոնկրետ ճյուղերի զարգացման խթանում. տվյալ ճյուղում ճկուն աշխատանքային գրաֆիկով աշխատելու պարագայում պետական աջակցություն գործատուին՝ աշխատավարձից վճարված եկամտահարկի վերադարձի տեսքով։ </t>
  </si>
  <si>
    <t>Ընկերության կողմից միջին տարիքի  կանանց աշխատավարձի մինչև 20% չափով փոխհատուցում՝ մինչև մեկ տարի ժամկետով՝ արդյունաբերական գոտիներում աշխատանքի անցնելու դեպքում, եթե վերջիններս վերջին մեկ տարվա ընթացքում եղել են գործազուրկ</t>
  </si>
  <si>
    <t>Ձեռնարկատիրության վերաբերյալ կանանց ինքնաընկալումը («Ես ունեմ անհրաժեշտ գիտելիքն ու փորձը» պատկերը, GEM-ի շրջանակներում)</t>
  </si>
  <si>
    <t>Ստեղծել WOMen Economic Network (Wom.E.N.) թվային հարթակ, որը կհամակարգի պետական ​​աջակցությունը կանանց ձեռներեցությանը, մասնագիտական ​​հմտությունների զարգացմանը և զբաղվածությանը</t>
  </si>
  <si>
    <t>Հաշվարկը հիմնված է  հարթակի ստեղծման գնահատված ծախսերի վրա՝ հաշվի առնելով նմանատիպ նախագծերի միջին շուկայական արժեքը՝ $125 հազար (ՀՀ դրամին համարժեք):</t>
  </si>
  <si>
    <t>Շահառուների թիվը հաշվարկվել է՝ ելնելով կին գործատուների թվից, ինչպես նաև ծրագրի պոտենցիալ մասնակիցների համամասնությունից: Հաշվարկի ժամանակ հաշվի է առնվել մեկ շահառուի վերապատրաստման արժեքը՝ 100 հազար դրամ։</t>
  </si>
  <si>
    <t>Կին ձեռներեցների համար աքսելերացիոն ծրագրի իրականացում` ուսուցողական, մասնագիտական խորհրդատվության, տեղեկատվական, ինչպես նաև ֆինանսական աջակցության տրամադրման բաղադրիչների ներառմամբ 
Միջոցառումը ներառելու է` 
1) դրամաշնորհներ ընտրված ծրագրերին
2) վճարված շահութահարկի հետվերադարձ շահութահարկի մինչև 5 տոկոսային կետի չափով 3 տարով կին ձեռներեցների համար, որոնք մասնակցել են աքսելերացիոն ծրագրին
3) նորաստեղծ ընկերությունների ֆինանսավորման վարկի տոկոսի որոշ մասի սուբսիդավորում` աքսելերացիոն ծրագրին մասնակցած կին ձեռներեցների համար, եթե վարկի արժեքը չի գերազանցում 10 մլն դրամը</t>
  </si>
  <si>
    <t>Հաշվարկը հաշվի է առնում, որ մասնակիցների X%-ը հաջողությամբ կավարտի ծրագիրը և կստանա պարգև 5 մլն դրամի չափով (2025-ից 2030 թվականների ընթացքում ծրագիրը հաջողությամբ ավարտած մասնակիցների մասնաբաժինն աճում է 5-ից մինչև 20 տոկոս)։ Հաշվի են առնվել նաև ծրագրի կազմակերպման ծախսերը՝ մեկ մասնակցի համար 50 հազար դրամի չափով</t>
  </si>
  <si>
    <t>Հաշվարկը հաշվի է առնում մեկ ընկերության միջին շահույթը (փոքր և միկրո ձեռնարկությունների միջին շրջանառությունը (Armstat տվյալները), երկրում միջին շահույթի մակարդակը  10% և  շահութահարկի 5 տոկոսային կետը: (Արդյունքում վճարը պետք է կազմի շահութահարկի սահմանված տոկոսից մինչև 5 տոկոսային կետ պակաս)</t>
  </si>
  <si>
    <t>Մինչև 5 մլն դրամ դրամաշնորհի տրամադրում 3 կին ձեռներեցների «Լավագույն Կին Ձեռներեց» ծրագրի շրջանակներում</t>
  </si>
  <si>
    <t>Հաշվարկը հիմնված է շահառուների տարեկան թվի  (ելնելով ընտանեկան և սոցիալական նպաստ ստացող աշխատունակ շահառուների փոփոխությունից), զբաղվածության վաուչերների արժեքի (որը կազմում է մոտավորացված 500 հ. ՀՀ դրամ) և տարեկան 4% գնաճի վրա:</t>
  </si>
  <si>
    <t>Հաշվարկը հիմնված է շահառուների տարեկան թվի (ընտանեկան և սոցիալական նպաստ ստացող աշխատունակ շահառուների փոփոխությունից), մասնագիտական ​​վերապատրաստման ծրագրի միջին արժեքի (որը կազմում է մոտավորացված 100 հ. ՀՀ դրամ) և տարեկան 4% գնաճի վրա:</t>
  </si>
  <si>
    <t xml:space="preserve"> ԿԳՄՍՆ, ԱՍՀՆ</t>
  </si>
  <si>
    <t>Ընտանեկան և սոցիալական նպաստների` հանրային աշխատանքների իրականացման ծրագրերով փոխարինում</t>
  </si>
  <si>
    <t>ՀՀ-ում հանրային աշխատանքների իրականացման ծախսերի և ընտանիքի կենսամակարդակի բարձրացմանն ուղղված նպաստների հարաբերություն (%)</t>
  </si>
  <si>
    <t>Հանրային աշխատանքների իրականացման ապահովում, ծրագրի դասիչ՝ 1088-11006, 12011, մլրդ դրամ</t>
  </si>
  <si>
    <t>Ընտանիքի կենսամակարդակի բարձրացմանն ուղղված նպաստներ, մլրդ դրամ</t>
  </si>
  <si>
    <t>Հանրային աշխատանքների իրականացման ինստիտուտ ներդնելու համար հանրային աշխատանքների իրականացման գործընթացների նկարագրի մշակում  և օրենսդրական փոփոխությունների իրականացում</t>
  </si>
  <si>
    <t>Արդարադատության նախարարություն, ԱՍՀՆ, ՏԿԵՆ</t>
  </si>
  <si>
    <t>Հանրային աշխատանքների կազմակերպում և իրագործում (ֆինանսավորում, համակարգում, իրականացում և շահառուների ներգրավումը)</t>
  </si>
  <si>
    <t>ԱՍՀՆ, Արդարադատության նախարարություն, ՏԿԵՆ</t>
  </si>
  <si>
    <t>Ապահով և անվտանգ աշխատանքային պայմանների ստեղծումը խթանող կարգավորումների ու պահանջների սահմանում ու պարբերական մոնիթորինգ՝ բացառելու բռնությունը, սեռական ոտնձգությունները և խտրականությունը</t>
  </si>
  <si>
    <t>Աշխատանքային իրավունքների վերաբերյալ հանրային իրազեկվածությունը գնահատման տարեկան հետազոտության արդյունքների առկայություն</t>
  </si>
  <si>
    <t>Աշխատաշուկայի ոլորտի քաղաքականությանը վերաբերվող աշխատանքային խմբի ձևավորում՝ ՀՀ աշխատանքի և սոցիալական հարցերի նախարարության, ՀՀ էկոնոմիկայի նախարարության, ՀՀ բարձր տեխնոլոգիական արդյունաբերության, ՀՀ կրթության, գիտության, մշակույթի և սպորտի նախարարության, ՀՀ տարածքային կառավարման և ենթակառուցվածքների նախարարության, ՀՀ վիճակագրական կոմիտեի, ՀՀ պետական եկամուտների կոմիտեի ներկայացուցիչների ներգրավմամբ</t>
  </si>
  <si>
    <t>Ռազմավարության նպատակները խթանելու համար հաղորդակցման մեխանիզմների ներդրում և տեղեկացվածության բարձրացում առկա կրթական ծրագրերի և պետական ​​աջակցության վերաբերյալ</t>
  </si>
  <si>
    <t>Բարելավված ինտերակտիվ հարթակի շահագործում</t>
  </si>
  <si>
    <t xml:space="preserve">Մշակված և հաստատված են կրթության, զբաղվածության, սոցիալական ներառման ոլորտներում կարիերայի ուղղորդման ազգային չափորոշիչները, որոնք սահմանում են ըստ տարիքի և սոցիալ-աշխատանքային կարգավիճակի կարիերայի ծառայությունների վերջնարդյունքները և ելակետ են շարունակական կրթության և ուսուցման համար </t>
  </si>
  <si>
    <t>Հաշվարկում հաշվի են առնվել 10 բարձր որակավորում ունեցող մասնագետների աշխատավարձերը (աշխատավարձը 750 հ. ՀՀ  դրամի չափով (ներառյալ հարկերը)), գրասենյակի վարձակալության միջին արժեքը (1000 հ. ՀՀ  դրամի չափով), ինչպես նաև ընդհանուր գործարքային ծախսերը (ընդհանուր գործառնական ծախսերի 30%-ը): Հաշվարկը հաշվի է առնում նաև զբաղվածության ցուցանիշի փոփոխությունը: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</si>
</sst>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_-* #,##0.00\ _₽_-;\-* #,##0.00\ _₽_-;_-* &quot;-&quot;??\ _₽_-;_-@_-"/>
    <numFmt numFmtId="165" formatCode="_(* #,##0.0_);_(* \(#,##0.0\);_(* &quot;-&quot;??_);_(@_)"/>
    <numFmt numFmtId="166" formatCode="_(* #,##0_);_(* \(#,##0\);_(* &quot;-&quot;??_);_(@_)"/>
    <numFmt numFmtId="167" formatCode="0.0%"/>
    <numFmt numFmtId="168" formatCode="0.0"/>
    <numFmt numFmtId="169" formatCode="##,##0.0;\(##,##0.0\);\-"/>
    <numFmt numFmtId="170" formatCode="#,##0.0"/>
    <numFmt numFmtId="171" formatCode="0.000%"/>
    <numFmt numFmtId="172" formatCode="0.000"/>
    <numFmt numFmtId="173" formatCode="0.0000%"/>
    <numFmt numFmtId="174" formatCode="_(* #,##0.00000_);_(* \(#,##0.00000\);_(* &quot;-&quot;??_);_(@_)"/>
    <numFmt numFmtId="175" formatCode="0.00000000"/>
  </numFmts>
  <fonts count="31" x14ac:knownFonts="1">
    <font>
      <sz val="11"/>
      <color theme="1"/>
      <name val="Calibri"/>
      <family val="2"/>
      <scheme val="minor"/>
    </font>
    <font>
      <sz val="11"/>
      <color theme="1"/>
      <name val="Calibri"/>
      <family val="2"/>
      <scheme val="minor"/>
    </font>
    <font>
      <sz val="11"/>
      <color rgb="FF000000"/>
      <name val="Calibri"/>
      <family val="2"/>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sz val="8"/>
      <name val="GHEA Grapalat"/>
      <family val="2"/>
    </font>
    <font>
      <b/>
      <sz val="18"/>
      <color theme="3"/>
      <name val="Calibri Light"/>
      <family val="2"/>
      <scheme val="major"/>
    </font>
    <font>
      <sz val="11"/>
      <color rgb="FF9C6500"/>
      <name val="Calibri"/>
      <family val="2"/>
      <scheme val="minor"/>
    </font>
    <font>
      <i/>
      <sz val="9"/>
      <name val="GHEA Grapalat"/>
      <family val="2"/>
    </font>
    <font>
      <b/>
      <sz val="14"/>
      <color theme="1"/>
      <name val="Calibri"/>
      <family val="2"/>
      <scheme val="minor"/>
    </font>
    <font>
      <sz val="11"/>
      <color theme="1"/>
      <name val="GHEA Grapalat"/>
      <family val="3"/>
    </font>
    <font>
      <sz val="11"/>
      <name val="GHEA Grapalat"/>
      <family val="3"/>
    </font>
    <font>
      <b/>
      <sz val="11"/>
      <color theme="1"/>
      <name val="GHEA Grapalat"/>
      <family val="3"/>
    </font>
    <font>
      <b/>
      <sz val="11"/>
      <color rgb="FF000000"/>
      <name val="GHEA Grapalat"/>
      <family val="3"/>
    </font>
    <font>
      <b/>
      <sz val="11"/>
      <name val="GHEA Grapalat"/>
      <family val="3"/>
    </font>
    <font>
      <b/>
      <sz val="12"/>
      <color theme="1"/>
      <name val="GHEA Grapalat"/>
      <family val="3"/>
    </font>
  </fonts>
  <fills count="4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7"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bottom/>
      <diagonal/>
    </border>
    <border>
      <left/>
      <right style="thin">
        <color indexed="64"/>
      </right>
      <top/>
      <bottom/>
      <diagonal/>
    </border>
  </borders>
  <cellStyleXfs count="6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5" fillId="0" borderId="12" applyNumberFormat="0" applyFill="0" applyAlignment="0" applyProtection="0"/>
    <xf numFmtId="0" fontId="6" fillId="0" borderId="13" applyNumberFormat="0" applyFill="0" applyAlignment="0" applyProtection="0"/>
    <xf numFmtId="0" fontId="7" fillId="0" borderId="14" applyNumberFormat="0" applyFill="0" applyAlignment="0" applyProtection="0"/>
    <xf numFmtId="0" fontId="7" fillId="0" borderId="0" applyNumberFormat="0" applyFill="0" applyBorder="0" applyAlignment="0" applyProtection="0"/>
    <xf numFmtId="0" fontId="8"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11" fillId="9" borderId="15" applyNumberFormat="0" applyAlignment="0" applyProtection="0"/>
    <xf numFmtId="0" fontId="12" fillId="10" borderId="16" applyNumberFormat="0" applyAlignment="0" applyProtection="0"/>
    <xf numFmtId="0" fontId="13" fillId="10" borderId="15" applyNumberFormat="0" applyAlignment="0" applyProtection="0"/>
    <xf numFmtId="0" fontId="14" fillId="0" borderId="17" applyNumberFormat="0" applyFill="0" applyAlignment="0" applyProtection="0"/>
    <xf numFmtId="0" fontId="15" fillId="11" borderId="18" applyNumberFormat="0" applyAlignment="0" applyProtection="0"/>
    <xf numFmtId="0" fontId="16" fillId="0" borderId="0" applyNumberFormat="0" applyFill="0" applyBorder="0" applyAlignment="0" applyProtection="0"/>
    <xf numFmtId="0" fontId="1" fillId="12" borderId="19" applyNumberFormat="0" applyFont="0" applyAlignment="0" applyProtection="0"/>
    <xf numFmtId="0" fontId="17" fillId="0" borderId="0" applyNumberFormat="0" applyFill="0" applyBorder="0" applyAlignment="0" applyProtection="0"/>
    <xf numFmtId="0" fontId="18" fillId="0" borderId="20" applyNumberFormat="0" applyFill="0" applyAlignment="0" applyProtection="0"/>
    <xf numFmtId="0" fontId="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9" fillId="0" borderId="0"/>
    <xf numFmtId="0" fontId="20" fillId="0" borderId="0">
      <alignment horizontal="left" vertical="top" wrapText="1"/>
    </xf>
    <xf numFmtId="0" fontId="21" fillId="0" borderId="0" applyNumberFormat="0" applyFill="0" applyBorder="0" applyAlignment="0" applyProtection="0"/>
    <xf numFmtId="0" fontId="22" fillId="8" borderId="0" applyNumberFormat="0" applyBorder="0" applyAlignment="0" applyProtection="0"/>
    <xf numFmtId="0" fontId="1" fillId="0" borderId="0"/>
    <xf numFmtId="0" fontId="1" fillId="0" borderId="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1" fillId="0" borderId="0"/>
    <xf numFmtId="0" fontId="3" fillId="36" borderId="0" applyNumberFormat="0" applyBorder="0" applyAlignment="0" applyProtection="0"/>
    <xf numFmtId="169" fontId="23" fillId="0" borderId="1" applyFill="0" applyProtection="0">
      <alignment horizontal="right" vertical="top"/>
    </xf>
  </cellStyleXfs>
  <cellXfs count="501">
    <xf numFmtId="0" fontId="0" fillId="0" borderId="0" xfId="0"/>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18"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166" fontId="0" fillId="0" borderId="1" xfId="1" applyNumberFormat="1" applyFont="1" applyBorder="1"/>
    <xf numFmtId="0" fontId="0" fillId="0" borderId="0" xfId="0"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left" vertical="center"/>
    </xf>
    <xf numFmtId="0" fontId="0" fillId="39" borderId="1" xfId="0" applyFill="1" applyBorder="1" applyAlignment="1">
      <alignment horizontal="center" vertical="center"/>
    </xf>
    <xf numFmtId="0" fontId="0" fillId="0" borderId="0" xfId="0" applyAlignment="1">
      <alignment horizontal="right"/>
    </xf>
    <xf numFmtId="43" fontId="0" fillId="0" borderId="0" xfId="0" applyNumberFormat="1"/>
    <xf numFmtId="0" fontId="18" fillId="0" borderId="0" xfId="0" applyFont="1"/>
    <xf numFmtId="43" fontId="18" fillId="0" borderId="0" xfId="0" applyNumberFormat="1" applyFont="1"/>
    <xf numFmtId="0" fontId="0" fillId="0" borderId="0" xfId="0" applyAlignment="1">
      <alignment wrapText="1"/>
    </xf>
    <xf numFmtId="0" fontId="18" fillId="0" borderId="0" xfId="0" applyFont="1" applyAlignment="1">
      <alignment wrapText="1"/>
    </xf>
    <xf numFmtId="167" fontId="0" fillId="0" borderId="0" xfId="2" applyNumberFormat="1" applyFont="1"/>
    <xf numFmtId="9" fontId="0" fillId="0" borderId="0" xfId="2" applyFont="1"/>
    <xf numFmtId="2" fontId="0" fillId="0" borderId="0" xfId="0" applyNumberFormat="1"/>
    <xf numFmtId="172" fontId="0" fillId="0" borderId="0" xfId="0" applyNumberFormat="1"/>
    <xf numFmtId="1" fontId="0" fillId="0" borderId="0" xfId="0" applyNumberFormat="1"/>
    <xf numFmtId="4" fontId="0" fillId="0" borderId="0" xfId="0" applyNumberFormat="1"/>
    <xf numFmtId="3" fontId="0" fillId="0" borderId="0" xfId="0" applyNumberFormat="1"/>
    <xf numFmtId="165" fontId="0" fillId="0" borderId="0" xfId="1" applyNumberFormat="1" applyFont="1"/>
    <xf numFmtId="166" fontId="0" fillId="0" borderId="0" xfId="1" applyNumberFormat="1" applyFont="1"/>
    <xf numFmtId="167" fontId="0" fillId="0" borderId="0" xfId="0" applyNumberFormat="1"/>
    <xf numFmtId="0" fontId="18" fillId="0" borderId="0" xfId="0" applyFont="1" applyAlignment="1">
      <alignment vertical="top" wrapText="1"/>
    </xf>
    <xf numFmtId="166" fontId="0" fillId="0" borderId="0" xfId="0" applyNumberFormat="1"/>
    <xf numFmtId="171" fontId="18" fillId="0" borderId="0" xfId="2" applyNumberFormat="1" applyFont="1"/>
    <xf numFmtId="0" fontId="24" fillId="0" borderId="0" xfId="0" applyFont="1"/>
    <xf numFmtId="3" fontId="0" fillId="0" borderId="24" xfId="0" applyNumberFormat="1" applyBorder="1"/>
    <xf numFmtId="3" fontId="0" fillId="0" borderId="0" xfId="1" applyNumberFormat="1" applyFont="1"/>
    <xf numFmtId="0" fontId="18" fillId="0" borderId="0" xfId="0" applyFont="1" applyAlignment="1">
      <alignment horizontal="center" vertical="center" wrapText="1"/>
    </xf>
    <xf numFmtId="0" fontId="18" fillId="0" borderId="0" xfId="0" applyFont="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0" fontId="0" fillId="0" borderId="25" xfId="0" applyBorder="1" applyAlignment="1">
      <alignment vertical="center" wrapText="1"/>
    </xf>
    <xf numFmtId="0" fontId="16" fillId="0" borderId="1" xfId="0" applyFont="1" applyBorder="1" applyAlignment="1">
      <alignment horizontal="center" vertical="center" wrapText="1"/>
    </xf>
    <xf numFmtId="3" fontId="16" fillId="0" borderId="0" xfId="0" applyNumberFormat="1" applyFont="1" applyAlignment="1">
      <alignment horizontal="center" vertical="center" wrapText="1"/>
    </xf>
    <xf numFmtId="167" fontId="0" fillId="0" borderId="0" xfId="2" applyNumberFormat="1" applyFont="1" applyAlignment="1">
      <alignment horizontal="center" vertical="center" wrapText="1"/>
    </xf>
    <xf numFmtId="3" fontId="0" fillId="0" borderId="0" xfId="1" applyNumberFormat="1" applyFont="1" applyAlignment="1">
      <alignment horizontal="center" vertical="center" wrapText="1"/>
    </xf>
    <xf numFmtId="3" fontId="0" fillId="0" borderId="0" xfId="0" applyNumberFormat="1" applyAlignment="1">
      <alignment horizontal="center" vertical="center"/>
    </xf>
    <xf numFmtId="3" fontId="0" fillId="0" borderId="0" xfId="1" applyNumberFormat="1" applyFont="1" applyFill="1" applyAlignment="1">
      <alignment horizontal="center" vertical="center" wrapText="1"/>
    </xf>
    <xf numFmtId="173" fontId="0" fillId="0" borderId="0" xfId="2" applyNumberFormat="1" applyFont="1"/>
    <xf numFmtId="174" fontId="0" fillId="0" borderId="0" xfId="1" applyNumberFormat="1" applyFont="1"/>
    <xf numFmtId="166" fontId="18" fillId="0" borderId="0" xfId="0" applyNumberFormat="1" applyFont="1"/>
    <xf numFmtId="4" fontId="18" fillId="0" borderId="0" xfId="0" applyNumberFormat="1" applyFont="1"/>
    <xf numFmtId="0" fontId="18" fillId="0" borderId="0" xfId="0" applyFont="1" applyAlignment="1">
      <alignment horizontal="left"/>
    </xf>
    <xf numFmtId="175" fontId="0" fillId="0" borderId="0" xfId="0" applyNumberFormat="1"/>
    <xf numFmtId="10" fontId="0" fillId="0" borderId="0" xfId="2" applyNumberFormat="1" applyFont="1"/>
    <xf numFmtId="43" fontId="0" fillId="0" borderId="0" xfId="1" applyFont="1"/>
    <xf numFmtId="10" fontId="0" fillId="0" borderId="0" xfId="0" applyNumberFormat="1"/>
    <xf numFmtId="0" fontId="25" fillId="5" borderId="0" xfId="0" applyFont="1" applyFill="1" applyAlignment="1">
      <alignment vertical="center"/>
    </xf>
    <xf numFmtId="0" fontId="25" fillId="5" borderId="0" xfId="0" applyFont="1" applyFill="1" applyAlignment="1">
      <alignment horizontal="center" vertical="center" wrapText="1"/>
    </xf>
    <xf numFmtId="0" fontId="25" fillId="5" borderId="0" xfId="0" applyFont="1" applyFill="1" applyAlignment="1">
      <alignment vertical="center" wrapText="1"/>
    </xf>
    <xf numFmtId="0" fontId="25" fillId="5" borderId="0" xfId="0" applyFont="1" applyFill="1" applyAlignment="1">
      <alignment horizontal="center" vertical="center"/>
    </xf>
    <xf numFmtId="43" fontId="25" fillId="5" borderId="0" xfId="0" applyNumberFormat="1" applyFont="1" applyFill="1" applyAlignment="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xf>
    <xf numFmtId="0" fontId="27" fillId="3" borderId="1" xfId="0" applyFont="1" applyFill="1" applyBorder="1" applyAlignment="1">
      <alignment vertical="center" wrapText="1"/>
    </xf>
    <xf numFmtId="0" fontId="27" fillId="3" borderId="1" xfId="0" applyFont="1" applyFill="1" applyBorder="1" applyAlignment="1">
      <alignment vertical="center"/>
    </xf>
    <xf numFmtId="167" fontId="27" fillId="3" borderId="1" xfId="2" applyNumberFormat="1" applyFont="1" applyFill="1" applyBorder="1" applyAlignment="1">
      <alignment vertical="center" wrapText="1"/>
    </xf>
    <xf numFmtId="0" fontId="25" fillId="3" borderId="1" xfId="0" applyFont="1" applyFill="1" applyBorder="1" applyAlignment="1">
      <alignment vertical="center" wrapText="1"/>
    </xf>
    <xf numFmtId="171" fontId="25" fillId="0" borderId="1" xfId="2" applyNumberFormat="1" applyFont="1" applyBorder="1" applyAlignment="1">
      <alignment vertical="center"/>
    </xf>
    <xf numFmtId="165" fontId="25" fillId="0" borderId="1" xfId="1" applyNumberFormat="1" applyFont="1" applyBorder="1" applyAlignment="1">
      <alignment vertical="center"/>
    </xf>
    <xf numFmtId="43" fontId="25" fillId="0" borderId="1" xfId="1" applyFont="1" applyFill="1" applyBorder="1" applyAlignment="1">
      <alignment vertical="center" wrapText="1"/>
    </xf>
    <xf numFmtId="0" fontId="25" fillId="5" borderId="1" xfId="0" applyFont="1" applyFill="1" applyBorder="1" applyAlignment="1">
      <alignment vertical="center" wrapText="1"/>
    </xf>
    <xf numFmtId="10" fontId="27" fillId="3" borderId="1" xfId="2" applyNumberFormat="1" applyFont="1" applyFill="1" applyBorder="1" applyAlignment="1">
      <alignment vertical="center" wrapText="1"/>
    </xf>
    <xf numFmtId="166" fontId="25" fillId="0" borderId="1" xfId="1" applyNumberFormat="1" applyFont="1" applyBorder="1" applyAlignment="1">
      <alignment vertical="center" wrapText="1"/>
    </xf>
    <xf numFmtId="167" fontId="25" fillId="0" borderId="1" xfId="2" applyNumberFormat="1" applyFont="1" applyFill="1" applyBorder="1" applyAlignment="1">
      <alignment vertical="center" wrapText="1"/>
    </xf>
    <xf numFmtId="165" fontId="25" fillId="0" borderId="1" xfId="1" applyNumberFormat="1" applyFont="1" applyBorder="1" applyAlignment="1">
      <alignment vertical="center" wrapText="1"/>
    </xf>
    <xf numFmtId="165" fontId="25" fillId="0" borderId="1" xfId="0" applyNumberFormat="1" applyFont="1" applyBorder="1" applyAlignment="1">
      <alignment vertical="center" wrapText="1"/>
    </xf>
    <xf numFmtId="167" fontId="28" fillId="3" borderId="1" xfId="2" applyNumberFormat="1" applyFont="1" applyFill="1" applyBorder="1" applyAlignment="1">
      <alignment vertical="center"/>
    </xf>
    <xf numFmtId="167" fontId="25" fillId="3" borderId="1" xfId="2" applyNumberFormat="1" applyFont="1" applyFill="1" applyBorder="1" applyAlignment="1">
      <alignment vertical="center" wrapText="1"/>
    </xf>
    <xf numFmtId="2" fontId="25" fillId="0" borderId="1" xfId="2" applyNumberFormat="1" applyFont="1" applyFill="1" applyBorder="1" applyAlignment="1">
      <alignment vertical="center" wrapText="1"/>
    </xf>
    <xf numFmtId="165" fontId="25" fillId="3" borderId="1" xfId="1" applyNumberFormat="1" applyFont="1" applyFill="1" applyBorder="1" applyAlignment="1">
      <alignment vertical="center"/>
    </xf>
    <xf numFmtId="2" fontId="25" fillId="3" borderId="1" xfId="2" applyNumberFormat="1" applyFont="1" applyFill="1" applyBorder="1" applyAlignment="1">
      <alignment vertical="center" wrapText="1"/>
    </xf>
    <xf numFmtId="165" fontId="25" fillId="0" borderId="1" xfId="1" applyNumberFormat="1" applyFont="1" applyFill="1" applyBorder="1" applyAlignment="1">
      <alignment vertical="center"/>
    </xf>
    <xf numFmtId="165" fontId="25" fillId="5" borderId="1" xfId="1" applyNumberFormat="1" applyFont="1" applyFill="1" applyBorder="1" applyAlignment="1">
      <alignment vertical="center"/>
    </xf>
    <xf numFmtId="166" fontId="27" fillId="3" borderId="1" xfId="0" applyNumberFormat="1" applyFont="1" applyFill="1" applyBorder="1" applyAlignment="1">
      <alignment vertical="center" wrapText="1"/>
    </xf>
    <xf numFmtId="166" fontId="25" fillId="0" borderId="1" xfId="1" applyNumberFormat="1" applyFont="1" applyBorder="1" applyAlignment="1">
      <alignment vertical="center"/>
    </xf>
    <xf numFmtId="0" fontId="25" fillId="5" borderId="1" xfId="0" applyFont="1" applyFill="1" applyBorder="1" applyAlignment="1">
      <alignment horizontal="center" vertical="center"/>
    </xf>
    <xf numFmtId="167" fontId="25" fillId="5" borderId="1" xfId="2" applyNumberFormat="1" applyFont="1" applyFill="1" applyBorder="1" applyAlignment="1">
      <alignment vertical="center" wrapText="1"/>
    </xf>
    <xf numFmtId="0" fontId="29" fillId="3" borderId="1" xfId="0" applyFont="1" applyFill="1" applyBorder="1" applyAlignment="1">
      <alignment vertical="center" wrapText="1"/>
    </xf>
    <xf numFmtId="167" fontId="25" fillId="0" borderId="1" xfId="2" applyNumberFormat="1" applyFont="1" applyBorder="1" applyAlignment="1">
      <alignment vertical="center"/>
    </xf>
    <xf numFmtId="9" fontId="25" fillId="0" borderId="1" xfId="2" applyFont="1" applyBorder="1" applyAlignment="1">
      <alignment vertical="center"/>
    </xf>
    <xf numFmtId="0" fontId="27" fillId="0" borderId="1" xfId="0" applyFont="1" applyBorder="1" applyAlignment="1">
      <alignment horizontal="center" vertical="center"/>
    </xf>
    <xf numFmtId="165" fontId="25" fillId="0" borderId="1" xfId="1" applyNumberFormat="1" applyFont="1" applyFill="1" applyBorder="1" applyAlignment="1">
      <alignment vertical="center" wrapText="1"/>
    </xf>
    <xf numFmtId="0" fontId="25" fillId="3" borderId="1" xfId="0" applyFont="1" applyFill="1" applyBorder="1" applyAlignment="1">
      <alignment horizontal="center" vertical="center"/>
    </xf>
    <xf numFmtId="165" fontId="25" fillId="0" borderId="1" xfId="1" applyNumberFormat="1" applyFont="1" applyBorder="1" applyAlignment="1">
      <alignment horizontal="right" vertical="center"/>
    </xf>
    <xf numFmtId="1" fontId="25" fillId="0" borderId="1" xfId="1" applyNumberFormat="1" applyFont="1" applyBorder="1" applyAlignment="1">
      <alignment vertical="center"/>
    </xf>
    <xf numFmtId="168" fontId="25" fillId="0" borderId="1" xfId="0" applyNumberFormat="1" applyFont="1" applyBorder="1" applyAlignment="1">
      <alignment vertical="center"/>
    </xf>
    <xf numFmtId="170" fontId="25" fillId="0" borderId="1" xfId="0" applyNumberFormat="1" applyFont="1" applyBorder="1" applyAlignment="1">
      <alignment vertical="center"/>
    </xf>
    <xf numFmtId="43" fontId="25" fillId="5" borderId="1" xfId="1" applyFont="1" applyFill="1" applyBorder="1" applyAlignment="1">
      <alignment vertical="center" wrapText="1"/>
    </xf>
    <xf numFmtId="167" fontId="25" fillId="0" borderId="1" xfId="2" applyNumberFormat="1" applyFont="1" applyFill="1" applyBorder="1" applyAlignment="1">
      <alignment vertical="center"/>
    </xf>
    <xf numFmtId="165" fontId="25" fillId="0" borderId="1" xfId="0" applyNumberFormat="1"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vertical="center"/>
    </xf>
    <xf numFmtId="0" fontId="29" fillId="0" borderId="1" xfId="0" applyFont="1" applyBorder="1" applyAlignment="1">
      <alignment horizontal="center" vertical="center" wrapText="1"/>
    </xf>
    <xf numFmtId="10" fontId="29" fillId="0" borderId="1" xfId="2" applyNumberFormat="1" applyFont="1" applyBorder="1" applyAlignment="1">
      <alignment horizontal="center" vertical="center" wrapText="1"/>
    </xf>
    <xf numFmtId="167" fontId="25" fillId="3" borderId="3" xfId="2" applyNumberFormat="1" applyFont="1" applyFill="1" applyBorder="1" applyAlignment="1">
      <alignment vertical="center" wrapText="1"/>
    </xf>
    <xf numFmtId="165" fontId="25" fillId="5" borderId="1" xfId="1" applyNumberFormat="1" applyFont="1" applyFill="1" applyBorder="1" applyAlignment="1">
      <alignment vertical="center" wrapText="1"/>
    </xf>
    <xf numFmtId="165" fontId="27" fillId="3" borderId="1" xfId="1" applyNumberFormat="1" applyFont="1" applyFill="1" applyBorder="1" applyAlignment="1">
      <alignment vertical="center" wrapText="1"/>
    </xf>
    <xf numFmtId="0" fontId="25" fillId="5" borderId="0" xfId="0" applyFont="1" applyFill="1" applyAlignment="1">
      <alignment horizontal="right" vertical="center"/>
    </xf>
    <xf numFmtId="0" fontId="26" fillId="2" borderId="10" xfId="0" applyFont="1" applyFill="1" applyBorder="1" applyAlignment="1">
      <alignment vertical="center" wrapText="1"/>
    </xf>
    <xf numFmtId="0" fontId="26" fillId="2" borderId="11" xfId="0" applyFont="1" applyFill="1" applyBorder="1" applyAlignment="1">
      <alignment vertical="center" wrapText="1"/>
    </xf>
    <xf numFmtId="0" fontId="26" fillId="3" borderId="1" xfId="0" applyFont="1" applyFill="1" applyBorder="1" applyAlignment="1">
      <alignment horizontal="center" vertical="center"/>
    </xf>
    <xf numFmtId="0" fontId="26" fillId="3" borderId="1" xfId="0" applyFont="1" applyFill="1" applyBorder="1" applyAlignment="1">
      <alignment vertical="center" wrapText="1"/>
    </xf>
    <xf numFmtId="166" fontId="26" fillId="3" borderId="1" xfId="0" applyNumberFormat="1" applyFont="1" applyFill="1" applyBorder="1" applyAlignment="1">
      <alignment horizontal="right" vertical="center"/>
    </xf>
    <xf numFmtId="0" fontId="26" fillId="5" borderId="1" xfId="0" applyFont="1" applyFill="1" applyBorder="1" applyAlignment="1">
      <alignment horizontal="center" vertical="center"/>
    </xf>
    <xf numFmtId="0" fontId="26" fillId="5" borderId="1" xfId="0" applyFont="1" applyFill="1" applyBorder="1" applyAlignment="1">
      <alignment vertical="center" wrapText="1"/>
    </xf>
    <xf numFmtId="43" fontId="25" fillId="5" borderId="0" xfId="1" applyFont="1" applyFill="1" applyAlignment="1">
      <alignment vertical="center"/>
    </xf>
    <xf numFmtId="0" fontId="25" fillId="5" borderId="0" xfId="0" applyFont="1" applyFill="1" applyAlignment="1">
      <alignment horizontal="left" vertical="center" wrapText="1"/>
    </xf>
    <xf numFmtId="0" fontId="25" fillId="5" borderId="0" xfId="0" applyFont="1" applyFill="1" applyAlignment="1">
      <alignment horizontal="left" vertical="center"/>
    </xf>
    <xf numFmtId="0" fontId="27" fillId="5" borderId="0" xfId="0" applyFont="1" applyFill="1" applyAlignment="1">
      <alignment vertical="center" wrapText="1"/>
    </xf>
    <xf numFmtId="0" fontId="27" fillId="5" borderId="0" xfId="0" applyFont="1" applyFill="1" applyAlignment="1">
      <alignment vertical="center"/>
    </xf>
    <xf numFmtId="0" fontId="26" fillId="5" borderId="0" xfId="0" applyFont="1" applyFill="1" applyAlignment="1">
      <alignment horizontal="center" vertical="center"/>
    </xf>
    <xf numFmtId="0" fontId="26" fillId="5" borderId="0" xfId="0" applyFont="1" applyFill="1" applyAlignment="1">
      <alignment horizontal="left" vertical="center"/>
    </xf>
    <xf numFmtId="0" fontId="26" fillId="0" borderId="1" xfId="0" applyFont="1" applyBorder="1" applyAlignment="1">
      <alignment vertical="center" wrapText="1"/>
    </xf>
    <xf numFmtId="167" fontId="26" fillId="3" borderId="1" xfId="2" applyNumberFormat="1" applyFont="1" applyFill="1" applyBorder="1" applyAlignment="1">
      <alignment horizontal="right" vertical="center"/>
    </xf>
    <xf numFmtId="0" fontId="26" fillId="2" borderId="1" xfId="0" applyFont="1" applyFill="1" applyBorder="1" applyAlignment="1">
      <alignment horizontal="center" vertical="center"/>
    </xf>
    <xf numFmtId="0" fontId="26" fillId="2" borderId="1" xfId="0" applyFont="1" applyFill="1" applyBorder="1" applyAlignment="1">
      <alignmen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left" vertical="center"/>
    </xf>
    <xf numFmtId="43" fontId="29" fillId="3" borderId="1" xfId="1" applyFont="1" applyFill="1" applyBorder="1" applyAlignment="1">
      <alignment horizontal="right" vertical="center"/>
    </xf>
    <xf numFmtId="0" fontId="26" fillId="4" borderId="1" xfId="0" applyFont="1" applyFill="1" applyBorder="1" applyAlignment="1">
      <alignment vertical="center" wrapText="1"/>
    </xf>
    <xf numFmtId="167" fontId="26" fillId="5" borderId="1" xfId="2" applyNumberFormat="1" applyFont="1" applyFill="1" applyBorder="1" applyAlignment="1">
      <alignment horizontal="right" vertical="center"/>
    </xf>
    <xf numFmtId="43" fontId="26" fillId="5" borderId="1" xfId="1" applyFont="1" applyFill="1" applyBorder="1" applyAlignment="1">
      <alignment horizontal="right" vertical="center"/>
    </xf>
    <xf numFmtId="43" fontId="29" fillId="5" borderId="1" xfId="1" applyFont="1" applyFill="1" applyBorder="1" applyAlignment="1">
      <alignment horizontal="right" vertical="center"/>
    </xf>
    <xf numFmtId="10" fontId="26" fillId="3" borderId="1" xfId="2" applyNumberFormat="1" applyFont="1" applyFill="1" applyBorder="1" applyAlignment="1">
      <alignment horizontal="right" vertical="center"/>
    </xf>
    <xf numFmtId="0" fontId="26" fillId="4" borderId="1" xfId="0" applyFont="1" applyFill="1" applyBorder="1" applyAlignment="1">
      <alignment horizontal="left" vertical="center" wrapText="1"/>
    </xf>
    <xf numFmtId="168" fontId="26" fillId="3" borderId="1" xfId="0" applyNumberFormat="1" applyFont="1" applyFill="1" applyBorder="1" applyAlignment="1">
      <alignment horizontal="right" vertical="center"/>
    </xf>
    <xf numFmtId="0" fontId="26" fillId="3" borderId="1" xfId="0" applyFont="1" applyFill="1" applyBorder="1" applyAlignment="1">
      <alignment horizontal="right" vertical="center"/>
    </xf>
    <xf numFmtId="43" fontId="26" fillId="3" borderId="1" xfId="1" applyFont="1" applyFill="1" applyBorder="1" applyAlignment="1">
      <alignment horizontal="right" vertical="center"/>
    </xf>
    <xf numFmtId="9" fontId="26" fillId="3" borderId="1" xfId="2" applyFont="1" applyFill="1" applyBorder="1" applyAlignment="1">
      <alignment horizontal="right" vertical="center"/>
    </xf>
    <xf numFmtId="43" fontId="29" fillId="5" borderId="0" xfId="1" applyFont="1" applyFill="1" applyAlignment="1">
      <alignment horizontal="left" vertical="center"/>
    </xf>
    <xf numFmtId="0" fontId="29" fillId="5" borderId="0" xfId="0" applyFont="1" applyFill="1" applyAlignment="1">
      <alignment horizontal="left"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167" fontId="29" fillId="3" borderId="1" xfId="2" applyNumberFormat="1" applyFont="1" applyFill="1" applyBorder="1" applyAlignment="1">
      <alignment horizontal="right" vertical="center"/>
    </xf>
    <xf numFmtId="0" fontId="26" fillId="5" borderId="0" xfId="0" applyFont="1" applyFill="1" applyAlignment="1">
      <alignment vertical="center" wrapText="1"/>
    </xf>
    <xf numFmtId="0" fontId="26" fillId="2" borderId="1" xfId="0" applyFont="1" applyFill="1" applyBorder="1" applyAlignment="1">
      <alignment vertical="center" wrapText="1"/>
    </xf>
    <xf numFmtId="167" fontId="26" fillId="3" borderId="1" xfId="2" applyNumberFormat="1" applyFont="1" applyFill="1" applyBorder="1" applyAlignment="1">
      <alignment horizontal="right" vertical="center" wrapText="1"/>
    </xf>
    <xf numFmtId="0" fontId="26" fillId="5" borderId="1" xfId="0" applyFont="1" applyFill="1" applyBorder="1" applyAlignment="1">
      <alignment horizontal="right" vertical="center" wrapText="1"/>
    </xf>
    <xf numFmtId="0" fontId="26" fillId="5" borderId="0" xfId="0" applyFont="1" applyFill="1" applyAlignment="1">
      <alignment horizontal="left" vertical="center" wrapText="1"/>
    </xf>
    <xf numFmtId="0" fontId="26" fillId="5" borderId="0" xfId="0" applyFont="1" applyFill="1" applyAlignment="1">
      <alignment horizontal="center" vertical="center" wrapText="1"/>
    </xf>
    <xf numFmtId="0" fontId="26" fillId="2"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43" fontId="29" fillId="5" borderId="0" xfId="1" applyFont="1" applyFill="1" applyAlignment="1">
      <alignment vertical="center" wrapText="1"/>
    </xf>
    <xf numFmtId="43" fontId="29" fillId="5" borderId="0" xfId="1" applyFont="1" applyFill="1" applyAlignment="1">
      <alignment horizontal="left" vertical="center" wrapText="1"/>
    </xf>
    <xf numFmtId="0" fontId="29" fillId="5" borderId="0" xfId="0" applyFont="1" applyFill="1" applyAlignment="1">
      <alignment vertical="center" wrapText="1"/>
    </xf>
    <xf numFmtId="168" fontId="26" fillId="3" borderId="1" xfId="2" applyNumberFormat="1" applyFont="1" applyFill="1" applyBorder="1" applyAlignment="1">
      <alignment horizontal="right" vertical="center"/>
    </xf>
    <xf numFmtId="168" fontId="26" fillId="5" borderId="1" xfId="2" applyNumberFormat="1" applyFont="1" applyFill="1" applyBorder="1" applyAlignment="1">
      <alignment horizontal="right" vertical="center"/>
    </xf>
    <xf numFmtId="168" fontId="26" fillId="3" borderId="1" xfId="2" applyNumberFormat="1" applyFont="1" applyFill="1" applyBorder="1" applyAlignment="1">
      <alignment horizontal="left" vertical="center"/>
    </xf>
    <xf numFmtId="168" fontId="26" fillId="5" borderId="1" xfId="2" applyNumberFormat="1" applyFont="1" applyFill="1" applyBorder="1" applyAlignment="1">
      <alignment horizontal="left" vertical="center" wrapText="1"/>
    </xf>
    <xf numFmtId="168" fontId="29" fillId="3" borderId="1" xfId="2" applyNumberFormat="1" applyFont="1" applyFill="1" applyBorder="1" applyAlignment="1">
      <alignment horizontal="right" vertical="center"/>
    </xf>
    <xf numFmtId="0" fontId="29" fillId="5" borderId="0" xfId="0" applyFont="1" applyFill="1" applyAlignment="1">
      <alignment horizontal="center" vertical="center"/>
    </xf>
    <xf numFmtId="0" fontId="26" fillId="5" borderId="1" xfId="0" applyFont="1" applyFill="1" applyBorder="1" applyAlignment="1">
      <alignment horizontal="right" vertical="center"/>
    </xf>
    <xf numFmtId="0" fontId="0" fillId="0" borderId="0" xfId="0" applyAlignment="1">
      <alignment horizontal="right" vertical="center"/>
    </xf>
    <xf numFmtId="0" fontId="0" fillId="0" borderId="0" xfId="0" applyAlignment="1">
      <alignment horizontal="right" vertical="center" wrapText="1"/>
    </xf>
    <xf numFmtId="165" fontId="18" fillId="0" borderId="0" xfId="0" applyNumberFormat="1" applyFont="1"/>
    <xf numFmtId="9" fontId="25" fillId="0" borderId="1" xfId="2" applyFont="1" applyBorder="1" applyAlignment="1">
      <alignment vertical="center" wrapText="1"/>
    </xf>
    <xf numFmtId="43" fontId="25" fillId="5" borderId="1" xfId="0" applyNumberFormat="1" applyFont="1" applyFill="1" applyBorder="1" applyAlignment="1">
      <alignment vertical="center"/>
    </xf>
    <xf numFmtId="0" fontId="29" fillId="40" borderId="1" xfId="0" applyFont="1" applyFill="1" applyBorder="1" applyAlignment="1">
      <alignment horizontal="center" vertical="center" wrapText="1"/>
    </xf>
    <xf numFmtId="3" fontId="0" fillId="0" borderId="0" xfId="0" applyNumberFormat="1" applyAlignment="1">
      <alignment vertical="center"/>
    </xf>
    <xf numFmtId="43" fontId="0" fillId="0" borderId="0" xfId="1" applyFont="1" applyBorder="1"/>
    <xf numFmtId="0" fontId="26" fillId="0" borderId="1" xfId="0" applyFont="1" applyFill="1" applyBorder="1" applyAlignment="1">
      <alignment vertical="center" wrapText="1"/>
    </xf>
    <xf numFmtId="168" fontId="26" fillId="0" borderId="1" xfId="2" applyNumberFormat="1" applyFont="1" applyFill="1" applyBorder="1" applyAlignment="1">
      <alignment horizontal="right" vertical="center"/>
    </xf>
    <xf numFmtId="0" fontId="26" fillId="0" borderId="1" xfId="0" applyFont="1" applyFill="1" applyBorder="1" applyAlignment="1">
      <alignment horizontal="center" vertical="center"/>
    </xf>
    <xf numFmtId="43" fontId="26" fillId="0" borderId="1" xfId="1" applyFont="1" applyFill="1" applyBorder="1" applyAlignment="1">
      <alignment horizontal="right" vertical="center"/>
    </xf>
    <xf numFmtId="43" fontId="29" fillId="0" borderId="1" xfId="1" applyFont="1" applyFill="1" applyBorder="1" applyAlignment="1">
      <alignment horizontal="right" vertical="center"/>
    </xf>
    <xf numFmtId="0" fontId="26" fillId="0" borderId="0" xfId="0" applyFont="1" applyFill="1" applyAlignment="1">
      <alignment horizontal="left" vertical="center"/>
    </xf>
    <xf numFmtId="0" fontId="26" fillId="0" borderId="2" xfId="0" applyFont="1" applyFill="1" applyBorder="1" applyAlignment="1">
      <alignmen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166" fontId="26" fillId="3" borderId="3" xfId="0" applyNumberFormat="1" applyFont="1" applyFill="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43" fontId="29" fillId="3" borderId="1" xfId="1" applyFont="1" applyFill="1" applyBorder="1" applyAlignment="1">
      <alignment horizontal="left" vertical="center"/>
    </xf>
    <xf numFmtId="0" fontId="29" fillId="3" borderId="1" xfId="0" applyFont="1" applyFill="1" applyBorder="1" applyAlignment="1">
      <alignment horizontal="center" vertical="center"/>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43" fontId="29" fillId="3" borderId="3" xfId="1" applyFont="1" applyFill="1" applyBorder="1" applyAlignment="1">
      <alignment horizontal="center" vertical="center"/>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168" fontId="26" fillId="3" borderId="3" xfId="2" applyNumberFormat="1" applyFont="1" applyFill="1" applyBorder="1" applyAlignment="1">
      <alignment horizontal="center" vertical="center"/>
    </xf>
    <xf numFmtId="168" fontId="26" fillId="3" borderId="5" xfId="2" applyNumberFormat="1" applyFont="1" applyFill="1" applyBorder="1" applyAlignment="1">
      <alignment horizontal="center" vertical="center"/>
    </xf>
    <xf numFmtId="0" fontId="26" fillId="3" borderId="1" xfId="0" applyFont="1" applyFill="1" applyBorder="1" applyAlignment="1">
      <alignment horizontal="left" vertical="center" wrapText="1"/>
    </xf>
    <xf numFmtId="0" fontId="26" fillId="0" borderId="0" xfId="0" applyFont="1" applyFill="1" applyAlignment="1">
      <alignment vertical="center" wrapText="1"/>
    </xf>
    <xf numFmtId="0" fontId="26" fillId="0" borderId="1" xfId="0" applyFont="1" applyFill="1" applyBorder="1" applyAlignment="1">
      <alignment horizontal="right" vertical="center" wrapText="1"/>
    </xf>
    <xf numFmtId="167" fontId="26" fillId="0" borderId="1" xfId="2" applyNumberFormat="1" applyFont="1" applyFill="1" applyBorder="1" applyAlignment="1">
      <alignment horizontal="right" vertical="center"/>
    </xf>
    <xf numFmtId="0" fontId="26" fillId="5" borderId="0" xfId="0" applyFont="1" applyFill="1" applyAlignment="1">
      <alignment vertical="center"/>
    </xf>
    <xf numFmtId="0" fontId="29" fillId="0" borderId="1" xfId="0" applyFont="1" applyBorder="1" applyAlignment="1">
      <alignment horizontal="center" vertical="center"/>
    </xf>
    <xf numFmtId="0" fontId="29" fillId="0" borderId="1" xfId="0" applyFont="1" applyBorder="1" applyAlignment="1">
      <alignment vertical="center"/>
    </xf>
    <xf numFmtId="166" fontId="29" fillId="3" borderId="1" xfId="1" applyNumberFormat="1" applyFont="1" applyFill="1" applyBorder="1" applyAlignment="1">
      <alignment horizontal="right" vertical="center"/>
    </xf>
    <xf numFmtId="0" fontId="26" fillId="2" borderId="2" xfId="0" applyFont="1" applyFill="1" applyBorder="1" applyAlignment="1">
      <alignment vertical="center"/>
    </xf>
    <xf numFmtId="0" fontId="26" fillId="2" borderId="10" xfId="0" applyFont="1" applyFill="1" applyBorder="1" applyAlignment="1">
      <alignment horizontal="center" vertical="center"/>
    </xf>
    <xf numFmtId="0" fontId="26" fillId="2" borderId="10" xfId="0" applyFont="1" applyFill="1" applyBorder="1" applyAlignment="1">
      <alignment vertical="center"/>
    </xf>
    <xf numFmtId="0" fontId="26" fillId="2" borderId="10" xfId="0" applyFont="1" applyFill="1" applyBorder="1" applyAlignment="1">
      <alignment horizontal="center" vertical="center" wrapText="1"/>
    </xf>
    <xf numFmtId="0" fontId="26" fillId="2" borderId="10" xfId="0" applyFont="1" applyFill="1" applyBorder="1" applyAlignment="1">
      <alignment horizontal="right" vertical="center" wrapText="1"/>
    </xf>
    <xf numFmtId="0" fontId="26" fillId="2" borderId="10" xfId="0" applyFont="1" applyFill="1" applyBorder="1" applyAlignment="1">
      <alignment horizontal="right" vertical="center"/>
    </xf>
    <xf numFmtId="164" fontId="29" fillId="2" borderId="10" xfId="0" applyNumberFormat="1" applyFont="1" applyFill="1" applyBorder="1" applyAlignment="1">
      <alignment vertical="center"/>
    </xf>
    <xf numFmtId="0" fontId="26" fillId="2" borderId="1" xfId="0" applyFont="1" applyFill="1" applyBorder="1" applyAlignment="1">
      <alignment horizontal="left" vertical="center" wrapText="1"/>
    </xf>
    <xf numFmtId="43" fontId="26" fillId="3" borderId="1" xfId="1" applyFont="1" applyFill="1" applyBorder="1" applyAlignment="1">
      <alignment vertical="center"/>
    </xf>
    <xf numFmtId="0" fontId="26" fillId="5" borderId="1" xfId="0" applyFont="1" applyFill="1" applyBorder="1" applyAlignment="1">
      <alignment vertical="center"/>
    </xf>
    <xf numFmtId="43" fontId="26" fillId="5" borderId="1" xfId="1" applyFont="1" applyFill="1" applyBorder="1" applyAlignment="1">
      <alignment vertical="center"/>
    </xf>
    <xf numFmtId="0" fontId="26" fillId="0" borderId="2" xfId="0" applyFont="1" applyBorder="1" applyAlignment="1">
      <alignment vertical="center" wrapText="1"/>
    </xf>
    <xf numFmtId="0" fontId="26" fillId="4" borderId="2" xfId="0" applyFont="1" applyFill="1" applyBorder="1" applyAlignment="1">
      <alignment vertical="center" wrapText="1"/>
    </xf>
    <xf numFmtId="2" fontId="26" fillId="5" borderId="1" xfId="2" applyNumberFormat="1" applyFont="1" applyFill="1" applyBorder="1" applyAlignment="1">
      <alignment horizontal="right" vertical="center"/>
    </xf>
    <xf numFmtId="0" fontId="26" fillId="4" borderId="3"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5" xfId="0" applyFont="1" applyFill="1" applyBorder="1" applyAlignment="1">
      <alignment horizontal="left" vertical="center" wrapText="1"/>
    </xf>
    <xf numFmtId="43" fontId="26" fillId="5" borderId="1" xfId="0" applyNumberFormat="1" applyFont="1" applyFill="1" applyBorder="1" applyAlignment="1">
      <alignment vertical="center"/>
    </xf>
    <xf numFmtId="165" fontId="26" fillId="0" borderId="1" xfId="1" applyNumberFormat="1" applyFont="1" applyBorder="1" applyAlignment="1">
      <alignment horizontal="right" vertical="center" wrapText="1"/>
    </xf>
    <xf numFmtId="165" fontId="26" fillId="0" borderId="1" xfId="1" applyNumberFormat="1" applyFont="1" applyBorder="1" applyAlignment="1">
      <alignment horizontal="right" vertical="center"/>
    </xf>
    <xf numFmtId="0" fontId="26" fillId="3" borderId="5" xfId="0" applyFont="1" applyFill="1" applyBorder="1" applyAlignment="1">
      <alignment horizontal="center" vertical="center"/>
    </xf>
    <xf numFmtId="0" fontId="26" fillId="3" borderId="5" xfId="0" applyFont="1" applyFill="1" applyBorder="1" applyAlignment="1">
      <alignment vertical="center" wrapText="1"/>
    </xf>
    <xf numFmtId="0" fontId="26" fillId="3" borderId="5" xfId="0" applyFont="1" applyFill="1" applyBorder="1" applyAlignment="1">
      <alignment vertical="center"/>
    </xf>
    <xf numFmtId="0" fontId="26" fillId="3" borderId="1" xfId="0" applyFont="1" applyFill="1" applyBorder="1" applyAlignment="1">
      <alignment vertical="center"/>
    </xf>
    <xf numFmtId="166" fontId="26" fillId="5" borderId="1" xfId="1" applyNumberFormat="1" applyFont="1" applyFill="1" applyBorder="1" applyAlignment="1">
      <alignment horizontal="right" vertical="center"/>
    </xf>
    <xf numFmtId="0" fontId="26" fillId="0" borderId="1" xfId="0" applyFont="1" applyBorder="1" applyAlignment="1">
      <alignment vertical="center"/>
    </xf>
    <xf numFmtId="0" fontId="26" fillId="0" borderId="1" xfId="0" applyFont="1" applyBorder="1" applyAlignment="1">
      <alignment horizontal="right" vertical="center"/>
    </xf>
    <xf numFmtId="43" fontId="29" fillId="2" borderId="10" xfId="1" applyFont="1" applyFill="1" applyBorder="1" applyAlignment="1">
      <alignment vertical="center"/>
    </xf>
    <xf numFmtId="0" fontId="29" fillId="3" borderId="3" xfId="0" applyFont="1" applyFill="1" applyBorder="1" applyAlignment="1">
      <alignment horizontal="left" vertical="center" wrapText="1"/>
    </xf>
    <xf numFmtId="43" fontId="26" fillId="3" borderId="3" xfId="1" applyFont="1" applyFill="1" applyBorder="1" applyAlignment="1">
      <alignment horizontal="center" vertical="center"/>
    </xf>
    <xf numFmtId="2" fontId="26" fillId="0" borderId="1" xfId="2" applyNumberFormat="1" applyFont="1" applyFill="1" applyBorder="1" applyAlignment="1">
      <alignment horizontal="right" vertical="center"/>
    </xf>
    <xf numFmtId="166" fontId="26" fillId="3" borderId="1" xfId="1" applyNumberFormat="1" applyFont="1" applyFill="1" applyBorder="1" applyAlignment="1">
      <alignment horizontal="right" vertical="center"/>
    </xf>
    <xf numFmtId="166" fontId="26" fillId="0" borderId="1" xfId="1" applyNumberFormat="1" applyFont="1" applyBorder="1" applyAlignment="1">
      <alignment horizontal="right" vertical="center"/>
    </xf>
    <xf numFmtId="166" fontId="26" fillId="0" borderId="1" xfId="0" applyNumberFormat="1" applyFont="1" applyBorder="1" applyAlignment="1">
      <alignment horizontal="right" vertical="center"/>
    </xf>
    <xf numFmtId="1" fontId="26" fillId="3" borderId="1" xfId="0" applyNumberFormat="1" applyFont="1" applyFill="1" applyBorder="1" applyAlignment="1">
      <alignment horizontal="right" vertical="center"/>
    </xf>
    <xf numFmtId="0" fontId="29" fillId="5" borderId="0" xfId="0" applyFont="1" applyFill="1" applyAlignment="1">
      <alignment vertical="center"/>
    </xf>
    <xf numFmtId="0" fontId="26" fillId="2" borderId="1" xfId="0" applyFont="1" applyFill="1" applyBorder="1" applyAlignment="1">
      <alignment horizontal="right" vertical="center"/>
    </xf>
    <xf numFmtId="43" fontId="29" fillId="2" borderId="1" xfId="1" applyFont="1" applyFill="1" applyBorder="1" applyAlignment="1">
      <alignment horizontal="right" vertical="center"/>
    </xf>
    <xf numFmtId="0" fontId="26" fillId="2" borderId="1" xfId="0" applyFont="1" applyFill="1" applyBorder="1" applyAlignment="1">
      <alignment horizontal="left" vertical="center"/>
    </xf>
    <xf numFmtId="165" fontId="26" fillId="0" borderId="1" xfId="1" applyNumberFormat="1" applyFont="1" applyBorder="1" applyAlignment="1">
      <alignment vertical="center"/>
    </xf>
    <xf numFmtId="43" fontId="26" fillId="5" borderId="3" xfId="1" applyFont="1" applyFill="1" applyBorder="1" applyAlignment="1">
      <alignment vertical="center"/>
    </xf>
    <xf numFmtId="167" fontId="26" fillId="5" borderId="1" xfId="2" applyNumberFormat="1" applyFont="1" applyFill="1" applyBorder="1" applyAlignment="1">
      <alignment horizontal="left" vertical="center" wrapText="1"/>
    </xf>
    <xf numFmtId="167" fontId="26" fillId="3" borderId="1" xfId="2" applyNumberFormat="1" applyFont="1" applyFill="1" applyBorder="1" applyAlignment="1">
      <alignment horizontal="left" vertical="center"/>
    </xf>
    <xf numFmtId="167" fontId="29" fillId="3" borderId="1" xfId="2" applyNumberFormat="1" applyFont="1" applyFill="1" applyBorder="1" applyAlignment="1">
      <alignment horizontal="center" vertical="center"/>
    </xf>
    <xf numFmtId="166" fontId="26" fillId="0" borderId="1" xfId="1" applyNumberFormat="1" applyFont="1" applyBorder="1" applyAlignment="1">
      <alignment vertical="center"/>
    </xf>
    <xf numFmtId="166" fontId="26" fillId="0" borderId="1" xfId="0" applyNumberFormat="1" applyFont="1" applyBorder="1" applyAlignment="1">
      <alignment vertical="center"/>
    </xf>
    <xf numFmtId="43" fontId="26" fillId="37" borderId="1" xfId="1" applyFont="1" applyFill="1" applyBorder="1" applyAlignment="1">
      <alignment horizontal="right" vertical="center"/>
    </xf>
    <xf numFmtId="43" fontId="26" fillId="5" borderId="3" xfId="1" applyFont="1" applyFill="1" applyBorder="1" applyAlignment="1">
      <alignment horizontal="right" vertical="center"/>
    </xf>
    <xf numFmtId="167" fontId="26" fillId="5" borderId="3" xfId="2" applyNumberFormat="1" applyFont="1" applyFill="1" applyBorder="1" applyAlignment="1">
      <alignment horizontal="left" vertical="center" wrapText="1"/>
    </xf>
    <xf numFmtId="167" fontId="26" fillId="5" borderId="10" xfId="2" applyNumberFormat="1" applyFont="1" applyFill="1" applyBorder="1" applyAlignment="1">
      <alignment vertical="center"/>
    </xf>
    <xf numFmtId="167" fontId="26" fillId="5" borderId="11" xfId="2" applyNumberFormat="1" applyFont="1" applyFill="1" applyBorder="1" applyAlignment="1">
      <alignment vertical="center"/>
    </xf>
    <xf numFmtId="167" fontId="26" fillId="5" borderId="3" xfId="2" applyNumberFormat="1" applyFont="1" applyFill="1" applyBorder="1" applyAlignment="1">
      <alignment vertical="center" wrapText="1"/>
    </xf>
    <xf numFmtId="43" fontId="29" fillId="2" borderId="1" xfId="1" applyFont="1" applyFill="1" applyBorder="1" applyAlignment="1">
      <alignment vertical="center"/>
    </xf>
    <xf numFmtId="43" fontId="29" fillId="2" borderId="1" xfId="1" applyFont="1" applyFill="1" applyBorder="1" applyAlignment="1">
      <alignment horizontal="left" vertical="center"/>
    </xf>
    <xf numFmtId="166" fontId="26" fillId="3" borderId="1" xfId="1" applyNumberFormat="1" applyFont="1" applyFill="1" applyBorder="1" applyAlignment="1">
      <alignment vertical="center"/>
    </xf>
    <xf numFmtId="167" fontId="26" fillId="0" borderId="1" xfId="2" applyNumberFormat="1" applyFont="1" applyBorder="1" applyAlignment="1">
      <alignment vertical="center"/>
    </xf>
    <xf numFmtId="10" fontId="26" fillId="0" borderId="1" xfId="2" applyNumberFormat="1" applyFont="1" applyBorder="1" applyAlignment="1">
      <alignment vertical="center"/>
    </xf>
    <xf numFmtId="166" fontId="26" fillId="5" borderId="1" xfId="1" applyNumberFormat="1" applyFont="1" applyFill="1" applyBorder="1" applyAlignment="1">
      <alignment vertical="center"/>
    </xf>
    <xf numFmtId="172" fontId="26" fillId="0" borderId="1" xfId="0" applyNumberFormat="1" applyFont="1" applyBorder="1" applyAlignment="1">
      <alignment vertical="center"/>
    </xf>
    <xf numFmtId="168" fontId="26" fillId="0" borderId="1" xfId="0" applyNumberFormat="1" applyFont="1" applyBorder="1" applyAlignment="1">
      <alignment vertical="center"/>
    </xf>
    <xf numFmtId="0" fontId="26" fillId="0" borderId="1" xfId="0" applyFont="1" applyFill="1" applyBorder="1" applyAlignment="1">
      <alignment horizontal="right" vertical="center"/>
    </xf>
    <xf numFmtId="167" fontId="26" fillId="5" borderId="1" xfId="2" applyNumberFormat="1" applyFont="1" applyFill="1" applyBorder="1" applyAlignment="1">
      <alignment vertical="center" wrapText="1"/>
    </xf>
    <xf numFmtId="0" fontId="0" fillId="0" borderId="1" xfId="0" applyFill="1" applyBorder="1" applyAlignment="1">
      <alignment horizontal="center" vertical="center"/>
    </xf>
    <xf numFmtId="0" fontId="25" fillId="3"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center" vertical="center" wrapText="1"/>
    </xf>
    <xf numFmtId="43" fontId="27" fillId="3" borderId="1" xfId="1" applyFont="1" applyFill="1" applyBorder="1" applyAlignment="1">
      <alignment horizontal="center" vertical="center" wrapText="1"/>
    </xf>
    <xf numFmtId="167" fontId="25" fillId="0" borderId="1" xfId="2" applyNumberFormat="1" applyFont="1" applyFill="1" applyBorder="1" applyAlignment="1">
      <alignment horizontal="left" vertical="center" wrapText="1"/>
    </xf>
    <xf numFmtId="0" fontId="30" fillId="5" borderId="9" xfId="0" applyFont="1" applyFill="1" applyBorder="1" applyAlignment="1">
      <alignment horizontal="right" vertical="center" wrapText="1"/>
    </xf>
    <xf numFmtId="165" fontId="25" fillId="5" borderId="3" xfId="1" applyNumberFormat="1" applyFont="1" applyFill="1" applyBorder="1" applyAlignment="1">
      <alignment horizontal="left" vertical="center" wrapText="1"/>
    </xf>
    <xf numFmtId="165" fontId="25" fillId="5" borderId="4" xfId="1" applyNumberFormat="1" applyFont="1" applyFill="1" applyBorder="1" applyAlignment="1">
      <alignment horizontal="left" vertical="center" wrapText="1"/>
    </xf>
    <xf numFmtId="165" fontId="25" fillId="5" borderId="5" xfId="1" applyNumberFormat="1" applyFont="1" applyFill="1" applyBorder="1" applyAlignment="1">
      <alignment horizontal="left" vertical="center" wrapText="1"/>
    </xf>
    <xf numFmtId="167" fontId="25" fillId="5" borderId="3" xfId="2" applyNumberFormat="1" applyFont="1" applyFill="1" applyBorder="1" applyAlignment="1">
      <alignment horizontal="left" vertical="center" wrapText="1"/>
    </xf>
    <xf numFmtId="167" fontId="25" fillId="5" borderId="4" xfId="2" applyNumberFormat="1" applyFont="1" applyFill="1" applyBorder="1" applyAlignment="1">
      <alignment horizontal="left" vertical="center" wrapText="1"/>
    </xf>
    <xf numFmtId="167" fontId="25" fillId="5" borderId="5" xfId="2" applyNumberFormat="1" applyFont="1" applyFill="1" applyBorder="1" applyAlignment="1">
      <alignment horizontal="left" vertical="center" wrapText="1"/>
    </xf>
    <xf numFmtId="2" fontId="25" fillId="3" borderId="1" xfId="2" applyNumberFormat="1" applyFont="1" applyFill="1" applyBorder="1" applyAlignment="1">
      <alignment horizontal="center" vertical="center" wrapText="1"/>
    </xf>
    <xf numFmtId="165" fontId="25" fillId="0" borderId="1" xfId="1" applyNumberFormat="1" applyFont="1" applyBorder="1" applyAlignment="1">
      <alignment horizontal="left" vertical="center" wrapText="1"/>
    </xf>
    <xf numFmtId="0" fontId="29"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left" vertical="center" wrapText="1"/>
    </xf>
    <xf numFmtId="43" fontId="27" fillId="3" borderId="1" xfId="1" applyFont="1" applyFill="1" applyBorder="1" applyAlignment="1">
      <alignment horizontal="center" vertical="center"/>
    </xf>
    <xf numFmtId="43" fontId="27" fillId="3" borderId="3" xfId="1" applyFont="1" applyFill="1" applyBorder="1" applyAlignment="1">
      <alignment horizontal="center" vertical="center" wrapText="1"/>
    </xf>
    <xf numFmtId="43" fontId="27" fillId="3" borderId="4" xfId="1" applyFont="1" applyFill="1" applyBorder="1" applyAlignment="1">
      <alignment horizontal="center" vertical="center" wrapText="1"/>
    </xf>
    <xf numFmtId="43" fontId="27" fillId="3" borderId="5"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43" fontId="26" fillId="5" borderId="3" xfId="1" applyFont="1" applyFill="1" applyBorder="1" applyAlignment="1">
      <alignment horizontal="center" vertical="center"/>
    </xf>
    <xf numFmtId="43" fontId="26" fillId="5" borderId="4" xfId="1" applyFont="1" applyFill="1" applyBorder="1" applyAlignment="1">
      <alignment horizontal="center" vertical="center"/>
    </xf>
    <xf numFmtId="43" fontId="26" fillId="5" borderId="5" xfId="1" applyFont="1" applyFill="1" applyBorder="1" applyAlignment="1">
      <alignment horizontal="center" vertical="center"/>
    </xf>
    <xf numFmtId="43" fontId="26" fillId="5" borderId="1" xfId="1" applyFont="1" applyFill="1" applyBorder="1" applyAlignment="1">
      <alignment horizontal="center" vertical="center"/>
    </xf>
    <xf numFmtId="43" fontId="26" fillId="5" borderId="1" xfId="0" applyNumberFormat="1" applyFont="1" applyFill="1" applyBorder="1" applyAlignment="1">
      <alignment horizontal="center" vertical="center"/>
    </xf>
    <xf numFmtId="0" fontId="26" fillId="5" borderId="1" xfId="0" applyFont="1" applyFill="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3" xfId="0" applyFont="1" applyFill="1" applyBorder="1" applyAlignment="1">
      <alignment horizontal="left" vertical="center" wrapText="1"/>
    </xf>
    <xf numFmtId="0" fontId="26" fillId="5" borderId="5" xfId="0" applyFont="1" applyFill="1" applyBorder="1" applyAlignment="1">
      <alignment horizontal="left" vertical="center" wrapText="1"/>
    </xf>
    <xf numFmtId="167" fontId="26" fillId="3" borderId="3" xfId="2" applyNumberFormat="1" applyFont="1" applyFill="1" applyBorder="1" applyAlignment="1">
      <alignment horizontal="left" vertical="center" wrapText="1"/>
    </xf>
    <xf numFmtId="167" fontId="26" fillId="3" borderId="4" xfId="2" applyNumberFormat="1" applyFont="1" applyFill="1" applyBorder="1" applyAlignment="1">
      <alignment horizontal="left" vertical="center" wrapText="1"/>
    </xf>
    <xf numFmtId="167" fontId="26" fillId="3" borderId="5" xfId="2" applyNumberFormat="1" applyFont="1" applyFill="1" applyBorder="1" applyAlignment="1">
      <alignment horizontal="left" vertical="center" wrapText="1"/>
    </xf>
    <xf numFmtId="43" fontId="26" fillId="3" borderId="3" xfId="1" applyFont="1" applyFill="1" applyBorder="1" applyAlignment="1">
      <alignment horizontal="center" vertical="center"/>
    </xf>
    <xf numFmtId="43" fontId="26" fillId="3" borderId="4" xfId="1" applyFont="1" applyFill="1" applyBorder="1" applyAlignment="1">
      <alignment horizontal="center" vertical="center"/>
    </xf>
    <xf numFmtId="43" fontId="26" fillId="3" borderId="5" xfId="1" applyFont="1" applyFill="1" applyBorder="1" applyAlignment="1">
      <alignment horizontal="center" vertical="center"/>
    </xf>
    <xf numFmtId="0" fontId="26"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6" fillId="3" borderId="5" xfId="0" applyFont="1" applyFill="1" applyBorder="1" applyAlignment="1">
      <alignment horizontal="left" vertical="center" wrapText="1"/>
    </xf>
    <xf numFmtId="9" fontId="26" fillId="5" borderId="3" xfId="2" applyFont="1" applyFill="1" applyBorder="1" applyAlignment="1">
      <alignment horizontal="right" vertical="center"/>
    </xf>
    <xf numFmtId="9" fontId="26" fillId="5" borderId="4" xfId="2" applyFont="1" applyFill="1" applyBorder="1" applyAlignment="1">
      <alignment horizontal="right" vertical="center"/>
    </xf>
    <xf numFmtId="9" fontId="26" fillId="5" borderId="5" xfId="2" applyFont="1" applyFill="1" applyBorder="1" applyAlignment="1">
      <alignment horizontal="right" vertical="center"/>
    </xf>
    <xf numFmtId="9" fontId="26" fillId="5" borderId="3" xfId="2" applyFont="1" applyFill="1" applyBorder="1" applyAlignment="1">
      <alignment horizontal="center" vertical="center"/>
    </xf>
    <xf numFmtId="9" fontId="26" fillId="5" borderId="4" xfId="2" applyFont="1" applyFill="1" applyBorder="1" applyAlignment="1">
      <alignment horizontal="center" vertical="center"/>
    </xf>
    <xf numFmtId="9" fontId="26" fillId="5" borderId="5" xfId="2" applyFont="1" applyFill="1" applyBorder="1" applyAlignment="1">
      <alignment horizontal="center" vertical="center"/>
    </xf>
    <xf numFmtId="167" fontId="26" fillId="5" borderId="3" xfId="2" applyNumberFormat="1" applyFont="1" applyFill="1" applyBorder="1" applyAlignment="1">
      <alignment horizontal="right" vertical="center"/>
    </xf>
    <xf numFmtId="167" fontId="26" fillId="5" borderId="4" xfId="2" applyNumberFormat="1" applyFont="1" applyFill="1" applyBorder="1" applyAlignment="1">
      <alignment horizontal="right" vertical="center"/>
    </xf>
    <xf numFmtId="167" fontId="26" fillId="5" borderId="5" xfId="2" applyNumberFormat="1" applyFont="1" applyFill="1" applyBorder="1" applyAlignment="1">
      <alignment horizontal="righ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0" borderId="1" xfId="0" applyFont="1" applyBorder="1" applyAlignment="1">
      <alignment horizontal="center" vertical="center"/>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167" fontId="26" fillId="3" borderId="1" xfId="2" applyNumberFormat="1" applyFont="1" applyFill="1" applyBorder="1" applyAlignment="1">
      <alignment horizontal="right" vertical="center"/>
    </xf>
    <xf numFmtId="167" fontId="26" fillId="3" borderId="3" xfId="2" applyNumberFormat="1" applyFont="1" applyFill="1" applyBorder="1" applyAlignment="1">
      <alignment horizontal="right" vertical="center"/>
    </xf>
    <xf numFmtId="167" fontId="26" fillId="3" borderId="4" xfId="2" applyNumberFormat="1" applyFont="1" applyFill="1" applyBorder="1" applyAlignment="1">
      <alignment horizontal="right" vertical="center"/>
    </xf>
    <xf numFmtId="167" fontId="26" fillId="3" borderId="5" xfId="2" applyNumberFormat="1" applyFont="1" applyFill="1" applyBorder="1" applyAlignment="1">
      <alignment horizontal="right" vertical="center"/>
    </xf>
    <xf numFmtId="167" fontId="26" fillId="3" borderId="3" xfId="2" applyNumberFormat="1" applyFont="1" applyFill="1" applyBorder="1" applyAlignment="1">
      <alignment horizontal="center" vertical="center"/>
    </xf>
    <xf numFmtId="167" fontId="26" fillId="3" borderId="4" xfId="2" applyNumberFormat="1" applyFont="1" applyFill="1" applyBorder="1" applyAlignment="1">
      <alignment horizontal="center" vertical="center"/>
    </xf>
    <xf numFmtId="167" fontId="26" fillId="3" borderId="5" xfId="2" applyNumberFormat="1" applyFont="1" applyFill="1" applyBorder="1" applyAlignment="1">
      <alignment horizontal="center" vertical="center"/>
    </xf>
    <xf numFmtId="167" fontId="26" fillId="5" borderId="1" xfId="2" applyNumberFormat="1" applyFont="1" applyFill="1" applyBorder="1" applyAlignment="1">
      <alignment horizontal="right" vertical="center"/>
    </xf>
    <xf numFmtId="0" fontId="29" fillId="3" borderId="1" xfId="0" applyFont="1" applyFill="1" applyBorder="1" applyAlignment="1">
      <alignment horizontal="center"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9" fillId="3" borderId="1" xfId="0" applyFont="1" applyFill="1" applyBorder="1" applyAlignment="1">
      <alignment horizontal="center" vertical="center"/>
    </xf>
    <xf numFmtId="0" fontId="26" fillId="0" borderId="5" xfId="0" applyFont="1" applyBorder="1" applyAlignment="1">
      <alignment horizontal="center" vertical="center"/>
    </xf>
    <xf numFmtId="43" fontId="29" fillId="3" borderId="3" xfId="1" applyFont="1" applyFill="1" applyBorder="1" applyAlignment="1">
      <alignment horizontal="center" vertical="center"/>
    </xf>
    <xf numFmtId="43" fontId="29" fillId="3" borderId="4" xfId="1" applyFont="1" applyFill="1" applyBorder="1" applyAlignment="1">
      <alignment horizontal="center" vertical="center"/>
    </xf>
    <xf numFmtId="43" fontId="29" fillId="3" borderId="5" xfId="1" applyFont="1" applyFill="1" applyBorder="1" applyAlignment="1">
      <alignment horizontal="center" vertical="center"/>
    </xf>
    <xf numFmtId="43" fontId="26" fillId="5" borderId="3" xfId="1" applyFont="1" applyFill="1" applyBorder="1" applyAlignment="1">
      <alignment horizontal="left" vertical="center" wrapText="1"/>
    </xf>
    <xf numFmtId="43" fontId="26" fillId="5" borderId="4" xfId="1" applyFont="1" applyFill="1" applyBorder="1" applyAlignment="1">
      <alignment horizontal="left" vertical="center" wrapText="1"/>
    </xf>
    <xf numFmtId="43" fontId="26" fillId="5" borderId="5" xfId="1" applyFont="1" applyFill="1" applyBorder="1" applyAlignment="1">
      <alignment horizontal="left" vertical="center" wrapText="1"/>
    </xf>
    <xf numFmtId="10" fontId="26" fillId="5" borderId="3" xfId="2" applyNumberFormat="1" applyFont="1" applyFill="1" applyBorder="1" applyAlignment="1">
      <alignment horizontal="right" vertical="center"/>
    </xf>
    <xf numFmtId="10" fontId="26" fillId="5" borderId="4" xfId="2" applyNumberFormat="1" applyFont="1" applyFill="1" applyBorder="1" applyAlignment="1">
      <alignment horizontal="right" vertical="center"/>
    </xf>
    <xf numFmtId="10" fontId="26" fillId="5" borderId="5" xfId="2" applyNumberFormat="1" applyFont="1" applyFill="1" applyBorder="1" applyAlignment="1">
      <alignment horizontal="right" vertical="center"/>
    </xf>
    <xf numFmtId="166" fontId="26" fillId="3" borderId="3" xfId="0" applyNumberFormat="1" applyFont="1" applyFill="1" applyBorder="1" applyAlignment="1">
      <alignment horizontal="right" vertical="center"/>
    </xf>
    <xf numFmtId="166" fontId="26" fillId="3" borderId="4" xfId="0" applyNumberFormat="1" applyFont="1" applyFill="1" applyBorder="1" applyAlignment="1">
      <alignment horizontal="right" vertical="center"/>
    </xf>
    <xf numFmtId="166" fontId="26" fillId="3" borderId="5" xfId="0" applyNumberFormat="1" applyFont="1" applyFill="1" applyBorder="1" applyAlignment="1">
      <alignment horizontal="right" vertical="center"/>
    </xf>
    <xf numFmtId="0" fontId="26" fillId="5" borderId="4" xfId="0" applyFont="1" applyFill="1" applyBorder="1" applyAlignment="1">
      <alignment horizontal="left" vertical="center" wrapText="1"/>
    </xf>
    <xf numFmtId="167" fontId="26" fillId="5" borderId="3" xfId="2" applyNumberFormat="1" applyFont="1" applyFill="1" applyBorder="1" applyAlignment="1">
      <alignment horizontal="left" vertical="center" wrapText="1"/>
    </xf>
    <xf numFmtId="167" fontId="26" fillId="5" borderId="4" xfId="2" applyNumberFormat="1" applyFont="1" applyFill="1" applyBorder="1" applyAlignment="1">
      <alignment horizontal="left" vertical="center" wrapText="1"/>
    </xf>
    <xf numFmtId="167" fontId="26" fillId="5" borderId="5" xfId="2" applyNumberFormat="1" applyFont="1" applyFill="1" applyBorder="1" applyAlignment="1">
      <alignment horizontal="left" vertical="center" wrapText="1"/>
    </xf>
    <xf numFmtId="166" fontId="26" fillId="3" borderId="3" xfId="0" applyNumberFormat="1" applyFont="1" applyFill="1" applyBorder="1" applyAlignment="1">
      <alignment horizontal="left" vertical="center" wrapText="1"/>
    </xf>
    <xf numFmtId="166" fontId="26" fillId="3" borderId="4" xfId="0" applyNumberFormat="1" applyFont="1" applyFill="1" applyBorder="1" applyAlignment="1">
      <alignment horizontal="left" vertical="center" wrapText="1"/>
    </xf>
    <xf numFmtId="166" fontId="26" fillId="3" borderId="5" xfId="0" applyNumberFormat="1" applyFont="1" applyFill="1" applyBorder="1" applyAlignment="1">
      <alignment horizontal="left" vertical="center" wrapText="1"/>
    </xf>
    <xf numFmtId="43" fontId="26" fillId="38" borderId="3" xfId="1" applyFont="1" applyFill="1" applyBorder="1" applyAlignment="1">
      <alignment horizontal="center" vertical="center"/>
    </xf>
    <xf numFmtId="43" fontId="26" fillId="38" borderId="4" xfId="1" applyFont="1" applyFill="1" applyBorder="1" applyAlignment="1">
      <alignment horizontal="center" vertical="center"/>
    </xf>
    <xf numFmtId="43" fontId="26" fillId="38" borderId="5" xfId="1" applyFont="1" applyFill="1" applyBorder="1" applyAlignment="1">
      <alignment horizontal="center" vertical="center"/>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5" xfId="0" applyFont="1" applyFill="1" applyBorder="1" applyAlignment="1">
      <alignment horizontal="center" vertical="center" wrapText="1"/>
    </xf>
    <xf numFmtId="166" fontId="26" fillId="3" borderId="3" xfId="0" applyNumberFormat="1" applyFont="1" applyFill="1" applyBorder="1" applyAlignment="1">
      <alignment horizontal="center" vertical="center"/>
    </xf>
    <xf numFmtId="166" fontId="26" fillId="3" borderId="4" xfId="0" applyNumberFormat="1" applyFont="1" applyFill="1" applyBorder="1" applyAlignment="1">
      <alignment horizontal="center" vertical="center"/>
    </xf>
    <xf numFmtId="166" fontId="26" fillId="3" borderId="5" xfId="0" applyNumberFormat="1" applyFont="1" applyFill="1" applyBorder="1" applyAlignment="1">
      <alignment horizontal="center" vertical="center"/>
    </xf>
    <xf numFmtId="10" fontId="26" fillId="5" borderId="3" xfId="2" applyNumberFormat="1" applyFont="1" applyFill="1" applyBorder="1" applyAlignment="1">
      <alignment horizontal="center" vertical="center"/>
    </xf>
    <xf numFmtId="10" fontId="26" fillId="5" borderId="4" xfId="2" applyNumberFormat="1" applyFont="1" applyFill="1" applyBorder="1" applyAlignment="1">
      <alignment horizontal="center" vertical="center"/>
    </xf>
    <xf numFmtId="10" fontId="26" fillId="5" borderId="5" xfId="2" applyNumberFormat="1" applyFont="1" applyFill="1" applyBorder="1" applyAlignment="1">
      <alignment horizontal="center" vertical="center"/>
    </xf>
    <xf numFmtId="167" fontId="26" fillId="5" borderId="3" xfId="2" applyNumberFormat="1" applyFont="1" applyFill="1" applyBorder="1" applyAlignment="1">
      <alignment horizontal="center" vertical="center"/>
    </xf>
    <xf numFmtId="167" fontId="26" fillId="5" borderId="4" xfId="2" applyNumberFormat="1" applyFont="1" applyFill="1" applyBorder="1" applyAlignment="1">
      <alignment horizontal="center" vertical="center"/>
    </xf>
    <xf numFmtId="167" fontId="26" fillId="5" borderId="5" xfId="2" applyNumberFormat="1" applyFont="1" applyFill="1" applyBorder="1" applyAlignment="1">
      <alignment horizontal="center" vertical="center"/>
    </xf>
    <xf numFmtId="0" fontId="29" fillId="3" borderId="1"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167" fontId="26" fillId="3" borderId="1" xfId="2" applyNumberFormat="1" applyFont="1" applyFill="1" applyBorder="1" applyAlignment="1">
      <alignment horizontal="right" vertical="center" wrapText="1"/>
    </xf>
    <xf numFmtId="43" fontId="26" fillId="5" borderId="3" xfId="1" applyFont="1" applyFill="1" applyBorder="1" applyAlignment="1">
      <alignment horizontal="right" vertical="center"/>
    </xf>
    <xf numFmtId="43" fontId="26" fillId="5" borderId="4" xfId="1" applyFont="1" applyFill="1" applyBorder="1" applyAlignment="1">
      <alignment horizontal="right" vertical="center"/>
    </xf>
    <xf numFmtId="43" fontId="26" fillId="5" borderId="5" xfId="1" applyFont="1" applyFill="1" applyBorder="1" applyAlignment="1">
      <alignment horizontal="right" vertical="center"/>
    </xf>
    <xf numFmtId="167" fontId="26" fillId="5" borderId="2" xfId="2" applyNumberFormat="1" applyFont="1" applyFill="1" applyBorder="1" applyAlignment="1">
      <alignment horizontal="center" vertical="center"/>
    </xf>
    <xf numFmtId="167" fontId="26" fillId="5" borderId="10" xfId="2" applyNumberFormat="1" applyFont="1" applyFill="1" applyBorder="1" applyAlignment="1">
      <alignment horizontal="center" vertical="center"/>
    </xf>
    <xf numFmtId="167" fontId="26" fillId="3" borderId="3" xfId="2" applyNumberFormat="1" applyFont="1" applyFill="1" applyBorder="1" applyAlignment="1">
      <alignment horizontal="center" vertical="center" wrapText="1"/>
    </xf>
    <xf numFmtId="167" fontId="26" fillId="3" borderId="4" xfId="2" applyNumberFormat="1" applyFont="1" applyFill="1" applyBorder="1" applyAlignment="1">
      <alignment horizontal="center" vertical="center" wrapText="1"/>
    </xf>
    <xf numFmtId="167" fontId="26" fillId="3" borderId="5" xfId="2" applyNumberFormat="1" applyFont="1" applyFill="1" applyBorder="1" applyAlignment="1">
      <alignment horizontal="center" vertical="center" wrapText="1"/>
    </xf>
    <xf numFmtId="0" fontId="26" fillId="3" borderId="1" xfId="0" applyFont="1" applyFill="1" applyBorder="1" applyAlignment="1">
      <alignment horizontal="center" vertical="center"/>
    </xf>
    <xf numFmtId="43" fontId="29" fillId="3" borderId="3" xfId="1" applyFont="1" applyFill="1" applyBorder="1" applyAlignment="1">
      <alignment horizontal="right" vertical="center"/>
    </xf>
    <xf numFmtId="43" fontId="29" fillId="3" borderId="4" xfId="1" applyFont="1" applyFill="1" applyBorder="1" applyAlignment="1">
      <alignment horizontal="right" vertical="center"/>
    </xf>
    <xf numFmtId="43" fontId="29" fillId="3" borderId="5" xfId="1" applyFont="1" applyFill="1" applyBorder="1" applyAlignment="1">
      <alignment horizontal="right" vertical="center"/>
    </xf>
    <xf numFmtId="167" fontId="26" fillId="3" borderId="2" xfId="2" applyNumberFormat="1" applyFont="1" applyFill="1" applyBorder="1" applyAlignment="1">
      <alignment horizontal="center" vertical="center" wrapText="1"/>
    </xf>
    <xf numFmtId="167" fontId="26" fillId="3" borderId="10" xfId="2" applyNumberFormat="1" applyFont="1" applyFill="1" applyBorder="1" applyAlignment="1">
      <alignment horizontal="center" vertical="center" wrapText="1"/>
    </xf>
    <xf numFmtId="167" fontId="26" fillId="3" borderId="11" xfId="2" applyNumberFormat="1" applyFont="1" applyFill="1" applyBorder="1" applyAlignment="1">
      <alignment horizontal="center" vertical="center" wrapText="1"/>
    </xf>
    <xf numFmtId="167" fontId="26" fillId="3" borderId="3" xfId="2" applyNumberFormat="1" applyFont="1" applyFill="1" applyBorder="1" applyAlignment="1">
      <alignment horizontal="left" vertical="center"/>
    </xf>
    <xf numFmtId="167" fontId="26" fillId="3" borderId="4" xfId="2" applyNumberFormat="1" applyFont="1" applyFill="1" applyBorder="1" applyAlignment="1">
      <alignment horizontal="left" vertical="center"/>
    </xf>
    <xf numFmtId="167" fontId="26" fillId="3" borderId="5" xfId="2" applyNumberFormat="1" applyFont="1" applyFill="1" applyBorder="1" applyAlignment="1">
      <alignment horizontal="left" vertical="center"/>
    </xf>
    <xf numFmtId="2" fontId="26" fillId="5" borderId="3" xfId="1" applyNumberFormat="1" applyFont="1" applyFill="1" applyBorder="1" applyAlignment="1">
      <alignment horizontal="right" vertical="center"/>
    </xf>
    <xf numFmtId="2" fontId="26" fillId="5" borderId="4" xfId="1" applyNumberFormat="1" applyFont="1" applyFill="1" applyBorder="1" applyAlignment="1">
      <alignment horizontal="right" vertical="center"/>
    </xf>
    <xf numFmtId="2" fontId="26" fillId="5" borderId="5" xfId="1" applyNumberFormat="1" applyFont="1" applyFill="1" applyBorder="1" applyAlignment="1">
      <alignment horizontal="right" vertical="center"/>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43" fontId="25" fillId="5" borderId="3" xfId="1" applyFont="1" applyFill="1" applyBorder="1" applyAlignment="1">
      <alignment horizontal="center" vertical="center"/>
    </xf>
    <xf numFmtId="43" fontId="25" fillId="5" borderId="4" xfId="1" applyFont="1" applyFill="1" applyBorder="1" applyAlignment="1">
      <alignment horizontal="center" vertical="center"/>
    </xf>
    <xf numFmtId="43" fontId="25" fillId="5" borderId="5" xfId="1" applyFont="1" applyFill="1" applyBorder="1" applyAlignment="1">
      <alignment horizontal="center" vertical="center"/>
    </xf>
    <xf numFmtId="43" fontId="26" fillId="3" borderId="3" xfId="1" applyFont="1" applyFill="1" applyBorder="1" applyAlignment="1">
      <alignment horizontal="left" vertical="center"/>
    </xf>
    <xf numFmtId="43" fontId="26" fillId="3" borderId="4" xfId="1" applyFont="1" applyFill="1" applyBorder="1" applyAlignment="1">
      <alignment horizontal="left" vertical="center"/>
    </xf>
    <xf numFmtId="43" fontId="26" fillId="3" borderId="5" xfId="1" applyFont="1" applyFill="1" applyBorder="1" applyAlignment="1">
      <alignment horizontal="left"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43" fontId="29" fillId="5" borderId="3" xfId="1" applyFont="1" applyFill="1" applyBorder="1" applyAlignment="1">
      <alignment horizontal="center" vertical="center"/>
    </xf>
    <xf numFmtId="43" fontId="29" fillId="5" borderId="5" xfId="1" applyFont="1" applyFill="1" applyBorder="1" applyAlignment="1">
      <alignment horizontal="center" vertical="center"/>
    </xf>
    <xf numFmtId="43" fontId="29" fillId="3" borderId="3" xfId="1" applyFont="1" applyFill="1" applyBorder="1" applyAlignment="1">
      <alignment horizontal="left" vertical="center"/>
    </xf>
    <xf numFmtId="43" fontId="29" fillId="3" borderId="4" xfId="1" applyFont="1" applyFill="1" applyBorder="1" applyAlignment="1">
      <alignment horizontal="left" vertical="center"/>
    </xf>
    <xf numFmtId="43" fontId="29" fillId="3" borderId="5" xfId="1" applyFont="1" applyFill="1" applyBorder="1" applyAlignment="1">
      <alignment horizontal="left" vertical="center"/>
    </xf>
    <xf numFmtId="43" fontId="29" fillId="5" borderId="4" xfId="1" applyFont="1" applyFill="1" applyBorder="1" applyAlignment="1">
      <alignment horizontal="center" vertical="center"/>
    </xf>
    <xf numFmtId="43" fontId="29" fillId="5" borderId="4" xfId="1" applyFont="1" applyFill="1" applyBorder="1" applyAlignment="1">
      <alignment horizontal="left" vertical="center" wrapText="1"/>
    </xf>
    <xf numFmtId="43" fontId="29" fillId="5" borderId="5" xfId="1" applyFont="1" applyFill="1" applyBorder="1" applyAlignment="1">
      <alignment horizontal="left" vertical="center" wrapText="1"/>
    </xf>
    <xf numFmtId="43" fontId="29" fillId="3" borderId="1" xfId="1" applyFont="1" applyFill="1" applyBorder="1" applyAlignment="1">
      <alignment horizontal="center" vertical="center"/>
    </xf>
    <xf numFmtId="0" fontId="26" fillId="3" borderId="1" xfId="0" applyFont="1" applyFill="1" applyBorder="1" applyAlignment="1">
      <alignment horizontal="center" vertical="center" wrapText="1"/>
    </xf>
    <xf numFmtId="43" fontId="29" fillId="3" borderId="1" xfId="1" applyFont="1" applyFill="1" applyBorder="1" applyAlignment="1">
      <alignment horizontal="left" vertical="center"/>
    </xf>
    <xf numFmtId="0" fontId="26" fillId="0" borderId="1" xfId="0" applyFont="1" applyFill="1" applyBorder="1" applyAlignment="1">
      <alignment horizontal="center" vertical="center" wrapText="1"/>
    </xf>
    <xf numFmtId="167" fontId="29" fillId="3" borderId="1" xfId="2" applyNumberFormat="1" applyFont="1" applyFill="1" applyBorder="1" applyAlignment="1">
      <alignment horizontal="center" vertical="center" wrapText="1"/>
    </xf>
    <xf numFmtId="43" fontId="26" fillId="5" borderId="1" xfId="1" applyFont="1" applyFill="1" applyBorder="1" applyAlignment="1">
      <alignment horizontal="center" vertical="center" wrapText="1"/>
    </xf>
    <xf numFmtId="168" fontId="26" fillId="5" borderId="3" xfId="2" applyNumberFormat="1" applyFont="1" applyFill="1" applyBorder="1" applyAlignment="1">
      <alignment horizontal="center" vertical="center"/>
    </xf>
    <xf numFmtId="168" fontId="26" fillId="5" borderId="5" xfId="2" applyNumberFormat="1" applyFont="1" applyFill="1" applyBorder="1" applyAlignment="1">
      <alignment horizontal="center" vertical="center"/>
    </xf>
    <xf numFmtId="0" fontId="26" fillId="5" borderId="3" xfId="0" applyFont="1" applyFill="1" applyBorder="1" applyAlignment="1">
      <alignment horizontal="center" vertical="center"/>
    </xf>
    <xf numFmtId="0" fontId="26" fillId="5" borderId="5" xfId="0" applyFont="1" applyFill="1" applyBorder="1" applyAlignment="1">
      <alignment horizontal="center" vertical="center"/>
    </xf>
    <xf numFmtId="168" fontId="26" fillId="3" borderId="6" xfId="2" applyNumberFormat="1" applyFont="1" applyFill="1" applyBorder="1" applyAlignment="1">
      <alignment horizontal="center" vertical="center" wrapText="1"/>
    </xf>
    <xf numFmtId="168" fontId="26" fillId="3" borderId="21" xfId="2" applyNumberFormat="1" applyFont="1" applyFill="1" applyBorder="1" applyAlignment="1">
      <alignment horizontal="center" vertical="center" wrapText="1"/>
    </xf>
    <xf numFmtId="168" fontId="26" fillId="3" borderId="22" xfId="2" applyNumberFormat="1" applyFont="1" applyFill="1" applyBorder="1" applyAlignment="1">
      <alignment horizontal="center" vertical="center" wrapText="1"/>
    </xf>
    <xf numFmtId="168" fontId="26" fillId="3" borderId="8" xfId="2" applyNumberFormat="1" applyFont="1" applyFill="1" applyBorder="1" applyAlignment="1">
      <alignment horizontal="center" vertical="center" wrapText="1"/>
    </xf>
    <xf numFmtId="168" fontId="26" fillId="3" borderId="9" xfId="2" applyNumberFormat="1" applyFont="1" applyFill="1" applyBorder="1" applyAlignment="1">
      <alignment horizontal="center" vertical="center" wrapText="1"/>
    </xf>
    <xf numFmtId="168" fontId="26" fillId="3" borderId="23" xfId="2" applyNumberFormat="1" applyFont="1" applyFill="1" applyBorder="1" applyAlignment="1">
      <alignment horizontal="center" vertical="center" wrapText="1"/>
    </xf>
    <xf numFmtId="168" fontId="26" fillId="3" borderId="3" xfId="2" applyNumberFormat="1" applyFont="1" applyFill="1" applyBorder="1" applyAlignment="1">
      <alignment horizontal="center" vertical="center"/>
    </xf>
    <xf numFmtId="168" fontId="26" fillId="3" borderId="5" xfId="2" applyNumberFormat="1" applyFont="1" applyFill="1" applyBorder="1" applyAlignment="1">
      <alignment horizontal="center" vertical="center"/>
    </xf>
    <xf numFmtId="0" fontId="26" fillId="3" borderId="1" xfId="0" applyFont="1" applyFill="1" applyBorder="1" applyAlignment="1">
      <alignment horizontal="right" vertical="center" wrapText="1"/>
    </xf>
    <xf numFmtId="168" fontId="26" fillId="5" borderId="2" xfId="2" applyNumberFormat="1" applyFont="1" applyFill="1" applyBorder="1" applyAlignment="1">
      <alignment horizontal="center" vertical="center" wrapText="1"/>
    </xf>
    <xf numFmtId="168" fontId="26" fillId="5" borderId="10" xfId="2" applyNumberFormat="1" applyFont="1" applyFill="1" applyBorder="1" applyAlignment="1">
      <alignment horizontal="center" vertical="center" wrapText="1"/>
    </xf>
    <xf numFmtId="168" fontId="26" fillId="5" borderId="11" xfId="2" applyNumberFormat="1" applyFont="1" applyFill="1" applyBorder="1" applyAlignment="1">
      <alignment horizontal="center" vertical="center" wrapText="1"/>
    </xf>
    <xf numFmtId="168" fontId="26" fillId="3" borderId="2" xfId="2" applyNumberFormat="1" applyFont="1" applyFill="1" applyBorder="1" applyAlignment="1">
      <alignment horizontal="center" vertical="center" wrapText="1"/>
    </xf>
    <xf numFmtId="168" fontId="26" fillId="3" borderId="10" xfId="2" applyNumberFormat="1" applyFont="1" applyFill="1" applyBorder="1" applyAlignment="1">
      <alignment horizontal="center" vertical="center" wrapText="1"/>
    </xf>
    <xf numFmtId="168" fontId="26" fillId="3" borderId="11" xfId="2" applyNumberFormat="1" applyFont="1" applyFill="1" applyBorder="1" applyAlignment="1">
      <alignment horizontal="center" vertical="center" wrapText="1"/>
    </xf>
    <xf numFmtId="0" fontId="0" fillId="0" borderId="3"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0" fontId="0" fillId="5" borderId="1" xfId="0" applyFill="1" applyBorder="1" applyAlignment="1">
      <alignment horizontal="left" vertical="center" wrapText="1"/>
    </xf>
    <xf numFmtId="0" fontId="2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10" xfId="0" applyBorder="1" applyAlignment="1">
      <alignment vertical="center" wrapText="1"/>
    </xf>
    <xf numFmtId="0" fontId="0" fillId="0" borderId="11" xfId="0" applyBorder="1" applyAlignment="1">
      <alignment vertical="center" wrapText="1"/>
    </xf>
    <xf numFmtId="0" fontId="26" fillId="0" borderId="2"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7" fontId="25" fillId="5" borderId="0" xfId="2" applyNumberFormat="1" applyFont="1" applyFill="1" applyBorder="1" applyAlignment="1">
      <alignment horizontal="left" vertical="center" wrapText="1"/>
    </xf>
    <xf numFmtId="0" fontId="26" fillId="2" borderId="2" xfId="0" applyFont="1" applyFill="1" applyBorder="1" applyAlignment="1">
      <alignment vertical="center" wrapText="1"/>
    </xf>
    <xf numFmtId="43" fontId="26" fillId="5" borderId="1" xfId="1" applyFont="1" applyFill="1" applyBorder="1" applyAlignment="1">
      <alignment horizontal="left" vertical="center" wrapText="1"/>
    </xf>
    <xf numFmtId="0" fontId="26" fillId="0" borderId="0" xfId="0" applyFont="1" applyFill="1" applyBorder="1" applyAlignment="1">
      <alignment vertical="center" wrapText="1"/>
    </xf>
  </cellXfs>
  <cellStyles count="65">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1 2" xfId="57"/>
    <cellStyle name="60% - Accent2" xfId="34" builtinId="36" customBuiltin="1"/>
    <cellStyle name="60% - Accent2 2" xfId="58"/>
    <cellStyle name="60% - Accent3" xfId="38" builtinId="40" customBuiltin="1"/>
    <cellStyle name="60% - Accent3 2" xfId="59"/>
    <cellStyle name="60% - Accent4" xfId="42" builtinId="44" customBuiltin="1"/>
    <cellStyle name="60% - Accent4 2" xfId="60"/>
    <cellStyle name="60% - Accent5" xfId="46" builtinId="48" customBuiltin="1"/>
    <cellStyle name="60% - Accent5 2" xfId="61"/>
    <cellStyle name="60% - Accent6" xfId="50" builtinId="52" customBuiltin="1"/>
    <cellStyle name="60% - Accent6 2" xfId="63"/>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6" builtinId="27" customBuiltin="1"/>
    <cellStyle name="Calculation" xfId="20" builtinId="22" customBuiltin="1"/>
    <cellStyle name="Check Cell" xfId="22" builtinId="23" customBuiltin="1"/>
    <cellStyle name="Comma" xfId="1" builtinId="3"/>
    <cellStyle name="Explanatory Text" xfId="25"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8" builtinId="20" customBuiltin="1"/>
    <cellStyle name="Linked Cell" xfId="21" builtinId="24" customBuiltin="1"/>
    <cellStyle name="Neutral" xfId="17" builtinId="28" customBuiltin="1"/>
    <cellStyle name="Neutral 2" xfId="54"/>
    <cellStyle name="Normal" xfId="0" builtinId="0"/>
    <cellStyle name="Normal 2" xfId="3"/>
    <cellStyle name="Normal 3" xfId="52"/>
    <cellStyle name="Normal 5" xfId="51"/>
    <cellStyle name="Note" xfId="24" builtinId="10" customBuiltin="1"/>
    <cellStyle name="Output" xfId="19" builtinId="21" customBuiltin="1"/>
    <cellStyle name="Percent" xfId="2" builtinId="5"/>
    <cellStyle name="SN_it" xfId="64"/>
    <cellStyle name="style1696617248070" xfId="4"/>
    <cellStyle name="style1696617248195" xfId="5"/>
    <cellStyle name="style1696617438786" xfId="6"/>
    <cellStyle name="style1696617438912" xfId="7"/>
    <cellStyle name="style1697631146425" xfId="8"/>
    <cellStyle name="style1697632087416" xfId="9"/>
    <cellStyle name="style1697967907668" xfId="62"/>
    <cellStyle name="style1697968024735" xfId="55"/>
    <cellStyle name="style1697968024780" xfId="56"/>
    <cellStyle name="Title" xfId="10" builtinId="15" customBuiltin="1"/>
    <cellStyle name="Title 2" xfId="53"/>
    <cellStyle name="Total" xfId="26" builtinId="25" customBuiltin="1"/>
    <cellStyle name="Warning Text" xfId="23" builtinId="11" customBuiltin="1"/>
  </cellStyles>
  <dxfs count="0"/>
  <tableStyles count="1" defaultTableStyle="TableStyleMedium2" defaultPivotStyle="PivotStyleLight16">
    <tableStyle name="Invisible" pivot="0" table="0" count="0"/>
  </tableStyles>
  <colors>
    <mruColors>
      <color rgb="FFFFFFCC"/>
      <color rgb="FFFFFFFF"/>
      <color rgb="FFF3F1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50\ameria%20group\MAS\2.%20INSTITUTIONAL%20PROJECTS\2023\UNDP%20Employment%20Strategy\Implementation\Deliverable%204\Final_text%20and%20measures\Action%20Plan\Male%20Employment%20R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
          <cell r="C6">
            <v>0.51656557272689274</v>
          </cell>
          <cell r="D6">
            <v>0.53068349147220306</v>
          </cell>
          <cell r="E6">
            <v>0.55650605549249621</v>
          </cell>
          <cell r="F6">
            <v>0.58011873458212482</v>
          </cell>
          <cell r="G6">
            <v>0.61928737247615639</v>
          </cell>
          <cell r="H6">
            <v>0.62748043668089215</v>
          </cell>
          <cell r="I6">
            <v>0.63829348474119196</v>
          </cell>
          <cell r="J6">
            <v>0.65032331938974575</v>
          </cell>
          <cell r="K6">
            <v>0.66679930826637379</v>
          </cell>
          <cell r="L6">
            <v>0.68358924455980929</v>
          </cell>
          <cell r="M6">
            <v>0.70067017079262373</v>
          </cell>
          <cell r="N6">
            <v>0.71848276318030979</v>
          </cell>
          <cell r="O6">
            <v>0.73756031138601197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zoomScale="80" zoomScaleNormal="80" workbookViewId="0">
      <pane xSplit="3" ySplit="3" topLeftCell="R70" activePane="bottomRight" state="frozen"/>
      <selection pane="topRight" activeCell="D1" sqref="D1"/>
      <selection pane="bottomLeft" activeCell="A4" sqref="A4"/>
      <selection pane="bottomRight" activeCell="F18" sqref="F18"/>
    </sheetView>
  </sheetViews>
  <sheetFormatPr defaultColWidth="8.85546875" defaultRowHeight="16.5" x14ac:dyDescent="0.25"/>
  <cols>
    <col min="1" max="1" width="3" style="56" customWidth="1"/>
    <col min="2" max="2" width="20.7109375" style="57" customWidth="1"/>
    <col min="3" max="3" width="50.7109375" style="58" customWidth="1"/>
    <col min="4" max="4" width="20.7109375" style="59" customWidth="1"/>
    <col min="5" max="5" width="52.28515625" style="58" customWidth="1"/>
    <col min="6" max="6" width="36.85546875" style="56" customWidth="1"/>
    <col min="7" max="7" width="50.7109375" style="58" customWidth="1"/>
    <col min="8" max="8" width="12" style="58" bestFit="1" customWidth="1"/>
    <col min="9" max="9" width="11.5703125" style="58" bestFit="1" customWidth="1"/>
    <col min="10" max="11" width="12" style="58" bestFit="1" customWidth="1"/>
    <col min="12" max="12" width="12.7109375" style="58" bestFit="1" customWidth="1" collapsed="1"/>
    <col min="13" max="13" width="13" style="56" bestFit="1" customWidth="1"/>
    <col min="14" max="14" width="13" style="56" customWidth="1"/>
    <col min="15" max="15" width="13" style="56" bestFit="1" customWidth="1"/>
    <col min="16" max="16" width="12.7109375" style="56" bestFit="1" customWidth="1"/>
    <col min="17" max="17" width="13" style="56" bestFit="1" customWidth="1"/>
    <col min="18" max="18" width="13.140625" style="56" bestFit="1" customWidth="1"/>
    <col min="19" max="19" width="12.85546875" style="56" bestFit="1" customWidth="1"/>
    <col min="20" max="20" width="14.5703125" style="56" bestFit="1" customWidth="1"/>
    <col min="21" max="21" width="15" style="56" bestFit="1" customWidth="1"/>
    <col min="22" max="22" width="40.7109375" style="56" customWidth="1"/>
    <col min="23" max="23" width="16" style="56" bestFit="1" customWidth="1"/>
    <col min="24" max="24" width="20" style="56" bestFit="1" customWidth="1"/>
    <col min="25" max="26" width="20.28515625" style="56" bestFit="1" customWidth="1"/>
    <col min="27" max="27" width="21" style="56" bestFit="1" customWidth="1"/>
    <col min="28" max="29" width="21.5703125" style="56" bestFit="1" customWidth="1"/>
    <col min="30" max="30" width="22" style="56" bestFit="1" customWidth="1"/>
    <col min="31" max="16384" width="8.85546875" style="56"/>
  </cols>
  <sheetData>
    <row r="1" spans="1:30" ht="132" customHeight="1" x14ac:dyDescent="0.25">
      <c r="O1" s="60"/>
      <c r="X1" s="278" t="s">
        <v>1060</v>
      </c>
      <c r="Y1" s="278"/>
      <c r="Z1" s="278"/>
    </row>
    <row r="2" spans="1:30" ht="49.5" x14ac:dyDescent="0.25">
      <c r="A2" s="59"/>
      <c r="B2" s="103" t="s">
        <v>40</v>
      </c>
      <c r="C2" s="103" t="s">
        <v>160</v>
      </c>
      <c r="D2" s="103" t="s">
        <v>41</v>
      </c>
      <c r="E2" s="103" t="s">
        <v>42</v>
      </c>
      <c r="F2" s="103" t="s">
        <v>238</v>
      </c>
      <c r="G2" s="103" t="s">
        <v>43</v>
      </c>
      <c r="H2" s="275" t="s">
        <v>44</v>
      </c>
      <c r="I2" s="275"/>
      <c r="J2" s="275"/>
      <c r="K2" s="275"/>
      <c r="L2" s="275"/>
      <c r="M2" s="287" t="s">
        <v>336</v>
      </c>
      <c r="N2" s="287"/>
      <c r="O2" s="287"/>
      <c r="P2" s="287"/>
      <c r="Q2" s="287"/>
      <c r="R2" s="287"/>
      <c r="S2" s="287"/>
      <c r="T2" s="287"/>
      <c r="U2" s="287"/>
      <c r="V2" s="103" t="s">
        <v>349</v>
      </c>
      <c r="W2" s="287" t="s">
        <v>339</v>
      </c>
      <c r="X2" s="287"/>
      <c r="Y2" s="287"/>
      <c r="Z2" s="287"/>
      <c r="AA2" s="287"/>
      <c r="AB2" s="287"/>
      <c r="AC2" s="287"/>
      <c r="AD2" s="287"/>
    </row>
    <row r="3" spans="1:30" x14ac:dyDescent="0.25">
      <c r="B3" s="103"/>
      <c r="C3" s="104"/>
      <c r="D3" s="93"/>
      <c r="E3" s="104"/>
      <c r="F3" s="105"/>
      <c r="G3" s="104"/>
      <c r="H3" s="103">
        <v>2018</v>
      </c>
      <c r="I3" s="103">
        <v>2019</v>
      </c>
      <c r="J3" s="103">
        <v>2020</v>
      </c>
      <c r="K3" s="103">
        <v>2021</v>
      </c>
      <c r="L3" s="103">
        <v>2022</v>
      </c>
      <c r="M3" s="106">
        <v>2023</v>
      </c>
      <c r="N3" s="106">
        <f>+M3+1</f>
        <v>2024</v>
      </c>
      <c r="O3" s="106">
        <f t="shared" ref="O3:U3" si="0">+N3+1</f>
        <v>2025</v>
      </c>
      <c r="P3" s="106">
        <f t="shared" si="0"/>
        <v>2026</v>
      </c>
      <c r="Q3" s="106">
        <f t="shared" si="0"/>
        <v>2027</v>
      </c>
      <c r="R3" s="106">
        <f t="shared" si="0"/>
        <v>2028</v>
      </c>
      <c r="S3" s="106">
        <f t="shared" si="0"/>
        <v>2029</v>
      </c>
      <c r="T3" s="106">
        <f t="shared" si="0"/>
        <v>2030</v>
      </c>
      <c r="U3" s="106">
        <f t="shared" si="0"/>
        <v>2031</v>
      </c>
      <c r="V3" s="107"/>
      <c r="W3" s="106">
        <v>2025</v>
      </c>
      <c r="X3" s="106">
        <f>+W3+1</f>
        <v>2026</v>
      </c>
      <c r="Y3" s="106">
        <f t="shared" ref="Y3:AC3" si="1">+X3+1</f>
        <v>2027</v>
      </c>
      <c r="Z3" s="106">
        <f t="shared" si="1"/>
        <v>2028</v>
      </c>
      <c r="AA3" s="106">
        <f t="shared" si="1"/>
        <v>2029</v>
      </c>
      <c r="AB3" s="106">
        <f t="shared" si="1"/>
        <v>2030</v>
      </c>
      <c r="AC3" s="106">
        <f t="shared" si="1"/>
        <v>2031</v>
      </c>
      <c r="AD3" s="106" t="s">
        <v>708</v>
      </c>
    </row>
    <row r="4" spans="1:30" ht="66" x14ac:dyDescent="0.25">
      <c r="B4" s="288" t="s">
        <v>0</v>
      </c>
      <c r="C4" s="289" t="s">
        <v>990</v>
      </c>
      <c r="D4" s="65" t="s">
        <v>5</v>
      </c>
      <c r="E4" s="66" t="s">
        <v>214</v>
      </c>
      <c r="F4" s="67" t="s">
        <v>185</v>
      </c>
      <c r="G4" s="66" t="s">
        <v>319</v>
      </c>
      <c r="H4" s="68">
        <f>H5/H6</f>
        <v>0.47737206337643412</v>
      </c>
      <c r="I4" s="68">
        <f>I5/I6</f>
        <v>0.48948253146154203</v>
      </c>
      <c r="J4" s="68">
        <f>J5/J6</f>
        <v>0.47836363636363638</v>
      </c>
      <c r="K4" s="68">
        <f>K5/K6</f>
        <v>0.4886623860625926</v>
      </c>
      <c r="L4" s="68">
        <f>L5/L6</f>
        <v>0.50920904728036387</v>
      </c>
      <c r="M4" s="68">
        <f t="shared" ref="M4:T4" si="2">M5/M6</f>
        <v>0.51457707558489219</v>
      </c>
      <c r="N4" s="68">
        <f>N5/N6</f>
        <v>0.51949957909414468</v>
      </c>
      <c r="O4" s="68">
        <f>O5/O6</f>
        <v>0.52439363750390611</v>
      </c>
      <c r="P4" s="68">
        <f t="shared" si="2"/>
        <v>0.53528182603995766</v>
      </c>
      <c r="Q4" s="68">
        <f t="shared" si="2"/>
        <v>0.5499292333598147</v>
      </c>
      <c r="R4" s="68">
        <f t="shared" si="2"/>
        <v>0.56505080934190888</v>
      </c>
      <c r="S4" s="68">
        <f t="shared" si="2"/>
        <v>0.58034541891810121</v>
      </c>
      <c r="T4" s="68">
        <f t="shared" si="2"/>
        <v>0.59644252908054918</v>
      </c>
      <c r="U4" s="68">
        <f>U5/U6</f>
        <v>0.6137337423508149</v>
      </c>
      <c r="V4" s="69" t="s">
        <v>319</v>
      </c>
      <c r="W4" s="291">
        <f t="shared" ref="W4:AC4" si="3">SUM(W14:W81)</f>
        <v>383000</v>
      </c>
      <c r="X4" s="276">
        <f t="shared" si="3"/>
        <v>41252000</v>
      </c>
      <c r="Y4" s="276">
        <f t="shared" si="3"/>
        <v>73176000</v>
      </c>
      <c r="Z4" s="276">
        <f t="shared" si="3"/>
        <v>105200000</v>
      </c>
      <c r="AA4" s="276">
        <f t="shared" si="3"/>
        <v>158987000</v>
      </c>
      <c r="AB4" s="276">
        <f t="shared" si="3"/>
        <v>210878000</v>
      </c>
      <c r="AC4" s="276">
        <f t="shared" si="3"/>
        <v>281274000</v>
      </c>
      <c r="AD4" s="276">
        <f>SUM(W4:AC13)</f>
        <v>871150000</v>
      </c>
    </row>
    <row r="5" spans="1:30" ht="270.75" customHeight="1" x14ac:dyDescent="0.25">
      <c r="B5" s="288"/>
      <c r="C5" s="289"/>
      <c r="D5" s="62"/>
      <c r="E5" s="63" t="s">
        <v>190</v>
      </c>
      <c r="F5" s="63"/>
      <c r="G5" s="70"/>
      <c r="H5" s="71">
        <v>1048.5</v>
      </c>
      <c r="I5" s="71">
        <v>1077.4000000000001</v>
      </c>
      <c r="J5" s="71">
        <v>1052.4000000000001</v>
      </c>
      <c r="K5" s="71">
        <v>1088.3</v>
      </c>
      <c r="L5" s="71">
        <v>1134.78</v>
      </c>
      <c r="M5" s="72">
        <f>(1+_xlfn.RRI(4,$H$5,$L$5))*L5</f>
        <v>1157.4373226259627</v>
      </c>
      <c r="N5" s="72">
        <f>+(M5+O5)/2</f>
        <v>1171.9052891587871</v>
      </c>
      <c r="O5" s="72">
        <f>1.025*M5</f>
        <v>1186.3732556916116</v>
      </c>
      <c r="P5" s="72">
        <f>1.025*O5</f>
        <v>1216.0325870839017</v>
      </c>
      <c r="Q5" s="72">
        <f>1.03*P5</f>
        <v>1252.5135646964188</v>
      </c>
      <c r="R5" s="72">
        <f t="shared" ref="R5:U5" si="4">1.03*Q5</f>
        <v>1290.0889716373115</v>
      </c>
      <c r="S5" s="72">
        <f t="shared" si="4"/>
        <v>1328.7916407864309</v>
      </c>
      <c r="T5" s="72">
        <f t="shared" si="4"/>
        <v>1368.6553900100239</v>
      </c>
      <c r="U5" s="72">
        <f t="shared" si="4"/>
        <v>1409.7150517103246</v>
      </c>
      <c r="V5" s="73" t="s">
        <v>370</v>
      </c>
      <c r="W5" s="292"/>
      <c r="X5" s="276"/>
      <c r="Y5" s="276"/>
      <c r="Z5" s="276"/>
      <c r="AA5" s="276"/>
      <c r="AB5" s="276"/>
      <c r="AC5" s="276"/>
      <c r="AD5" s="276"/>
    </row>
    <row r="6" spans="1:30" ht="132" x14ac:dyDescent="0.25">
      <c r="B6" s="288"/>
      <c r="C6" s="289"/>
      <c r="D6" s="62"/>
      <c r="E6" s="61" t="s">
        <v>307</v>
      </c>
      <c r="F6" s="63" t="s">
        <v>185</v>
      </c>
      <c r="G6" s="63"/>
      <c r="H6" s="71">
        <v>2196.4</v>
      </c>
      <c r="I6" s="71">
        <v>2201.1</v>
      </c>
      <c r="J6" s="71">
        <v>2200</v>
      </c>
      <c r="K6" s="71">
        <v>2227.1</v>
      </c>
      <c r="L6" s="71">
        <v>2228.5149999999999</v>
      </c>
      <c r="M6" s="72">
        <v>2249.2982636476095</v>
      </c>
      <c r="N6" s="72">
        <f>+(M6+O6)/2</f>
        <v>2255.8349155975202</v>
      </c>
      <c r="O6" s="72">
        <v>2262.3715675474314</v>
      </c>
      <c r="P6" s="72">
        <v>2271.7613935824666</v>
      </c>
      <c r="Q6" s="72">
        <v>2277.5904402174383</v>
      </c>
      <c r="R6" s="72">
        <v>2283.1379945103067</v>
      </c>
      <c r="S6" s="72">
        <v>2289.6564657365739</v>
      </c>
      <c r="T6" s="72">
        <v>2294.6978514759599</v>
      </c>
      <c r="U6" s="72">
        <v>2296.9489119347145</v>
      </c>
      <c r="V6" s="73" t="s">
        <v>373</v>
      </c>
      <c r="W6" s="292"/>
      <c r="X6" s="276"/>
      <c r="Y6" s="276"/>
      <c r="Z6" s="276"/>
      <c r="AA6" s="276"/>
      <c r="AB6" s="276"/>
      <c r="AC6" s="276"/>
      <c r="AD6" s="276"/>
    </row>
    <row r="7" spans="1:30" ht="126" customHeight="1" x14ac:dyDescent="0.25">
      <c r="B7" s="288"/>
      <c r="C7" s="289"/>
      <c r="D7" s="65" t="s">
        <v>6</v>
      </c>
      <c r="E7" s="66" t="s">
        <v>226</v>
      </c>
      <c r="F7" s="66" t="s">
        <v>183</v>
      </c>
      <c r="G7" s="66" t="s">
        <v>1120</v>
      </c>
      <c r="H7" s="68">
        <f>H8/H9</f>
        <v>0.93062405536643933</v>
      </c>
      <c r="I7" s="68">
        <f t="shared" ref="I7:U7" si="5">I8/I9</f>
        <v>0.94581622929000109</v>
      </c>
      <c r="J7" s="68">
        <f t="shared" si="5"/>
        <v>0.8690763438462985</v>
      </c>
      <c r="K7" s="68">
        <f t="shared" si="5"/>
        <v>0.89338018954501497</v>
      </c>
      <c r="L7" s="68">
        <f t="shared" si="5"/>
        <v>0.93574390942447272</v>
      </c>
      <c r="M7" s="68">
        <f t="shared" si="5"/>
        <v>0.95051436699294622</v>
      </c>
      <c r="N7" s="68">
        <f t="shared" si="5"/>
        <v>0.95576802234536085</v>
      </c>
      <c r="O7" s="68">
        <f t="shared" si="5"/>
        <v>0.9608081283629657</v>
      </c>
      <c r="P7" s="68">
        <f t="shared" si="5"/>
        <v>0.97121336781982148</v>
      </c>
      <c r="Q7" s="68">
        <f t="shared" si="5"/>
        <v>0.9769656067483502</v>
      </c>
      <c r="R7" s="68">
        <f t="shared" si="5"/>
        <v>0.98275191466088108</v>
      </c>
      <c r="S7" s="68">
        <f t="shared" si="5"/>
        <v>0.98857249333896136</v>
      </c>
      <c r="T7" s="68">
        <f t="shared" si="5"/>
        <v>0.99442754575923653</v>
      </c>
      <c r="U7" s="74">
        <f t="shared" si="5"/>
        <v>1.0003172761005295</v>
      </c>
      <c r="V7" s="69" t="s">
        <v>239</v>
      </c>
      <c r="W7" s="292"/>
      <c r="X7" s="276"/>
      <c r="Y7" s="276"/>
      <c r="Z7" s="276"/>
      <c r="AA7" s="276"/>
      <c r="AB7" s="276"/>
      <c r="AC7" s="276"/>
      <c r="AD7" s="276"/>
    </row>
    <row r="8" spans="1:30" ht="148.5" x14ac:dyDescent="0.25">
      <c r="B8" s="288"/>
      <c r="C8" s="289"/>
      <c r="D8" s="62"/>
      <c r="E8" s="61" t="s">
        <v>1119</v>
      </c>
      <c r="F8" s="61" t="s">
        <v>183</v>
      </c>
      <c r="G8" s="169">
        <f>_xlfn.RRI(7,M8,U8)</f>
        <v>5.0002535359822353E-2</v>
      </c>
      <c r="H8" s="75">
        <v>30995.065971076976</v>
      </c>
      <c r="I8" s="75">
        <v>32593.070650023092</v>
      </c>
      <c r="J8" s="75">
        <v>30798.3607807599</v>
      </c>
      <c r="K8" s="75">
        <v>32729.479587631748</v>
      </c>
      <c r="L8" s="75">
        <v>36792.807530452948</v>
      </c>
      <c r="M8" s="72">
        <f>L8*(1.08/1.02)</f>
        <v>38957.090326361948</v>
      </c>
      <c r="N8" s="72">
        <f>+(M8+O8)/2</f>
        <v>40002.280554630197</v>
      </c>
      <c r="O8" s="72">
        <f>M8*(1.08/1.025)</f>
        <v>41047.470782898454</v>
      </c>
      <c r="P8" s="72">
        <f t="shared" ref="P8" si="6">O8*(1.08/1.025)</f>
        <v>43250.017995639355</v>
      </c>
      <c r="Q8" s="72">
        <f>P8*(1.08/1.03)</f>
        <v>45349.533432320874</v>
      </c>
      <c r="R8" s="72">
        <f t="shared" ref="R8:U8" si="7">Q8*(1.08/1.03)</f>
        <v>47550.967094084022</v>
      </c>
      <c r="S8" s="72">
        <f t="shared" si="7"/>
        <v>49859.266467583249</v>
      </c>
      <c r="T8" s="72">
        <f t="shared" si="7"/>
        <v>52279.619208728065</v>
      </c>
      <c r="U8" s="72">
        <f t="shared" si="7"/>
        <v>54817.464801384769</v>
      </c>
      <c r="V8" s="76" t="s">
        <v>1117</v>
      </c>
      <c r="W8" s="292"/>
      <c r="X8" s="276"/>
      <c r="Y8" s="276"/>
      <c r="Z8" s="276"/>
      <c r="AA8" s="276"/>
      <c r="AB8" s="276"/>
      <c r="AC8" s="276"/>
      <c r="AD8" s="276"/>
    </row>
    <row r="9" spans="1:30" ht="49.5" x14ac:dyDescent="0.25">
      <c r="B9" s="288"/>
      <c r="C9" s="289"/>
      <c r="D9" s="62"/>
      <c r="E9" s="61" t="s">
        <v>1118</v>
      </c>
      <c r="F9" s="61" t="s">
        <v>183</v>
      </c>
      <c r="G9" s="61"/>
      <c r="H9" s="75">
        <v>33305.67890690561</v>
      </c>
      <c r="I9" s="75">
        <v>34460.257331902452</v>
      </c>
      <c r="J9" s="75">
        <v>35438.038325211601</v>
      </c>
      <c r="K9" s="75">
        <v>36635.555579422886</v>
      </c>
      <c r="L9" s="75">
        <v>39319.312858880679</v>
      </c>
      <c r="M9" s="72">
        <f>(1+_xlfn.RRI(4,$H$9,$L$9))*L9</f>
        <v>40985.272478949337</v>
      </c>
      <c r="N9" s="72">
        <f>+(M9+O9)/2</f>
        <v>41853.545650615648</v>
      </c>
      <c r="O9" s="72">
        <f>(1+_xlfn.RRI(4,$H$9,$L$9))*M9</f>
        <v>42721.818822281966</v>
      </c>
      <c r="P9" s="72">
        <f t="shared" ref="P9:U9" si="8">(1+_xlfn.RRI(4,$H$9,$L$9))*O9</f>
        <v>44531.942648943288</v>
      </c>
      <c r="Q9" s="72">
        <f t="shared" si="8"/>
        <v>46418.761437527399</v>
      </c>
      <c r="R9" s="72">
        <f>(1+_xlfn.RRI(4,$H$9,$L$9))*Q9</f>
        <v>48385.524754222912</v>
      </c>
      <c r="S9" s="72">
        <f t="shared" si="8"/>
        <v>50435.619849365488</v>
      </c>
      <c r="T9" s="72">
        <f t="shared" si="8"/>
        <v>52572.577491116303</v>
      </c>
      <c r="U9" s="72">
        <f t="shared" si="8"/>
        <v>54800.078046313531</v>
      </c>
      <c r="V9" s="76" t="s">
        <v>348</v>
      </c>
      <c r="W9" s="292"/>
      <c r="X9" s="276"/>
      <c r="Y9" s="276"/>
      <c r="Z9" s="276"/>
      <c r="AA9" s="276"/>
      <c r="AB9" s="276"/>
      <c r="AC9" s="276"/>
      <c r="AD9" s="276"/>
    </row>
    <row r="10" spans="1:30" ht="82.5" x14ac:dyDescent="0.25">
      <c r="B10" s="288"/>
      <c r="C10" s="289"/>
      <c r="D10" s="65" t="s">
        <v>7</v>
      </c>
      <c r="E10" s="66" t="s">
        <v>215</v>
      </c>
      <c r="F10" s="66" t="s">
        <v>181</v>
      </c>
      <c r="G10" s="66" t="s">
        <v>318</v>
      </c>
      <c r="H10" s="68">
        <f t="shared" ref="H10:M10" si="9">H11/H12</f>
        <v>0.22618830814059371</v>
      </c>
      <c r="I10" s="68">
        <f t="shared" si="9"/>
        <v>0.20794148380355276</v>
      </c>
      <c r="J10" s="68">
        <f t="shared" si="9"/>
        <v>0.20113636363636364</v>
      </c>
      <c r="K10" s="68">
        <f t="shared" si="9"/>
        <v>0.17107449149117687</v>
      </c>
      <c r="L10" s="68">
        <f t="shared" si="9"/>
        <v>0.15199269468682061</v>
      </c>
      <c r="M10" s="68">
        <f t="shared" si="9"/>
        <v>0.15140708537665648</v>
      </c>
      <c r="N10" s="68">
        <f>N11/N12</f>
        <v>0.14634480689436707</v>
      </c>
      <c r="O10" s="68">
        <f t="shared" ref="O10:U10" si="10">O11/O12</f>
        <v>0.14131178121297638</v>
      </c>
      <c r="P10" s="68">
        <f t="shared" si="10"/>
        <v>0.13179212915812605</v>
      </c>
      <c r="Q10" s="68">
        <f t="shared" si="10"/>
        <v>0.12049440935373697</v>
      </c>
      <c r="R10" s="68">
        <f t="shared" si="10"/>
        <v>0.10669289752858431</v>
      </c>
      <c r="S10" s="68">
        <f t="shared" si="10"/>
        <v>9.5289344943307056E-2</v>
      </c>
      <c r="T10" s="68">
        <f t="shared" si="10"/>
        <v>8.3891090801495927E-2</v>
      </c>
      <c r="U10" s="68">
        <f t="shared" si="10"/>
        <v>7.2507646574369922E-2</v>
      </c>
      <c r="V10" s="69" t="s">
        <v>318</v>
      </c>
      <c r="W10" s="292"/>
      <c r="X10" s="276"/>
      <c r="Y10" s="276"/>
      <c r="Z10" s="276"/>
      <c r="AA10" s="276"/>
      <c r="AB10" s="276"/>
      <c r="AC10" s="276"/>
      <c r="AD10" s="276"/>
    </row>
    <row r="11" spans="1:30" ht="66" x14ac:dyDescent="0.25">
      <c r="B11" s="288"/>
      <c r="C11" s="289"/>
      <c r="D11" s="62"/>
      <c r="E11" s="61" t="s">
        <v>308</v>
      </c>
      <c r="F11" s="61" t="s">
        <v>181</v>
      </c>
      <c r="G11" s="61"/>
      <c r="H11" s="71">
        <v>496.8</v>
      </c>
      <c r="I11" s="71">
        <v>457.7</v>
      </c>
      <c r="J11" s="71">
        <v>442.5</v>
      </c>
      <c r="K11" s="71">
        <v>381</v>
      </c>
      <c r="L11" s="77">
        <v>338.71800000000002</v>
      </c>
      <c r="M11" s="77">
        <f>L11+M41-L41+M45-L45+M46-L46+M59-L59+M60-L60</f>
        <v>340.5596942416588</v>
      </c>
      <c r="N11" s="77">
        <f>+(M11+O11)/2</f>
        <v>330.12972510868991</v>
      </c>
      <c r="O11" s="77">
        <f>M11+O41-M41+O45-M45+O46-M46+O59-M59+O60-M60</f>
        <v>319.69975597572102</v>
      </c>
      <c r="P11" s="77">
        <f>O11+P41-O41+P45-O45+P46-O46+P59-O59+P60-O60</f>
        <v>299.40027099946485</v>
      </c>
      <c r="Q11" s="77">
        <f>P11+Q41-P41+Q45-P45+Q46-P46+Q59-P59+Q60-P60</f>
        <v>274.436914843718</v>
      </c>
      <c r="R11" s="77">
        <f>Q11+R41-Q41+R45-Q45+R46-Q46+R59-Q59+R60-Q60-0.17*42.4*(1+_xlfn.RRI(4,$H$73,$L$73))^4</f>
        <v>243.59460809190563</v>
      </c>
      <c r="S11" s="77">
        <f>R11+S41-R41+S45-R45+S46-R46+S59-R59+S60-R60</f>
        <v>218.1798647652457</v>
      </c>
      <c r="T11" s="77">
        <f>S11+T41-S41+T45-S45+T46-S46+T59-S59+T60-S60</f>
        <v>192.50470582016737</v>
      </c>
      <c r="U11" s="77">
        <f>T11+U41-T41+U45-T45+U46-T46+U59-T59+U60-T60</f>
        <v>166.54635990594582</v>
      </c>
      <c r="V11" s="76" t="s">
        <v>352</v>
      </c>
      <c r="W11" s="292"/>
      <c r="X11" s="276"/>
      <c r="Y11" s="276"/>
      <c r="Z11" s="276"/>
      <c r="AA11" s="276"/>
      <c r="AB11" s="276"/>
      <c r="AC11" s="276"/>
      <c r="AD11" s="276"/>
    </row>
    <row r="12" spans="1:30" ht="66" x14ac:dyDescent="0.25">
      <c r="B12" s="288"/>
      <c r="C12" s="289"/>
      <c r="D12" s="62"/>
      <c r="E12" s="61" t="s">
        <v>307</v>
      </c>
      <c r="F12" s="61" t="s">
        <v>185</v>
      </c>
      <c r="G12" s="61"/>
      <c r="H12" s="71">
        <v>2196.4</v>
      </c>
      <c r="I12" s="77">
        <v>2201.1</v>
      </c>
      <c r="J12" s="71">
        <v>2200</v>
      </c>
      <c r="K12" s="77">
        <v>2227.1</v>
      </c>
      <c r="L12" s="78">
        <f>L6</f>
        <v>2228.5149999999999</v>
      </c>
      <c r="M12" s="72">
        <v>2249.2982636476095</v>
      </c>
      <c r="N12" s="72">
        <f>+(M12+O12)/2</f>
        <v>2255.8349155975202</v>
      </c>
      <c r="O12" s="72">
        <v>2262.3715675474314</v>
      </c>
      <c r="P12" s="72">
        <v>2271.7613935824666</v>
      </c>
      <c r="Q12" s="72">
        <v>2277.5904402174383</v>
      </c>
      <c r="R12" s="72">
        <v>2283.1379945103067</v>
      </c>
      <c r="S12" s="72">
        <v>2289.6564657365739</v>
      </c>
      <c r="T12" s="72">
        <v>2294.6978514759599</v>
      </c>
      <c r="U12" s="72">
        <v>2296.9489119347145</v>
      </c>
      <c r="V12" s="72" t="s">
        <v>347</v>
      </c>
      <c r="W12" s="292"/>
      <c r="X12" s="276"/>
      <c r="Y12" s="276"/>
      <c r="Z12" s="276"/>
      <c r="AA12" s="276"/>
      <c r="AB12" s="276"/>
      <c r="AC12" s="276"/>
      <c r="AD12" s="276"/>
    </row>
    <row r="13" spans="1:30" ht="165" x14ac:dyDescent="0.25">
      <c r="B13" s="288"/>
      <c r="C13" s="289"/>
      <c r="D13" s="65" t="s">
        <v>144</v>
      </c>
      <c r="E13" s="66" t="s">
        <v>216</v>
      </c>
      <c r="F13" s="66" t="s">
        <v>182</v>
      </c>
      <c r="G13" s="66" t="s">
        <v>243</v>
      </c>
      <c r="H13" s="79">
        <v>0.23499999999999999</v>
      </c>
      <c r="I13" s="79">
        <v>0.26400000000000001</v>
      </c>
      <c r="J13" s="79">
        <v>0.27</v>
      </c>
      <c r="K13" s="79">
        <v>0.26500000000000001</v>
      </c>
      <c r="L13" s="68">
        <v>0.248</v>
      </c>
      <c r="M13" s="68">
        <f>L13*(1+(_xlfn.RRI(3,$I$13,$L$13)*_xlfn.RRI(7,$M$5,$U$5))/_xlfn.RRI(3,$I$5,$L$5))</f>
        <v>0.23962429992669079</v>
      </c>
      <c r="N13" s="68">
        <f>+(M13+O13)/2</f>
        <v>0.23557788608301611</v>
      </c>
      <c r="O13" s="68">
        <f>M13*(1+(_xlfn.RRI(3,$I$13,$L$13)*_xlfn.RRI(7,$M$5,$U$5))/_xlfn.RRI(3,$I$5,$L$5))</f>
        <v>0.2315314722393414</v>
      </c>
      <c r="P13" s="68">
        <f t="shared" ref="P13:U13" si="11">O13*(1+(_xlfn.RRI(3,$I$13,$L$13)*_xlfn.RRI(7,$M$5,$U$5))/_xlfn.RRI(3,$I$5,$L$5))</f>
        <v>0.22371196349333963</v>
      </c>
      <c r="Q13" s="68">
        <f t="shared" si="11"/>
        <v>0.21615654289240693</v>
      </c>
      <c r="R13" s="68">
        <f t="shared" si="11"/>
        <v>0.20885629139180131</v>
      </c>
      <c r="S13" s="68">
        <f t="shared" si="11"/>
        <v>0.20180259116953761</v>
      </c>
      <c r="T13" s="68">
        <f t="shared" si="11"/>
        <v>0.19498711545319614</v>
      </c>
      <c r="U13" s="68">
        <f t="shared" si="11"/>
        <v>0.18840181869031031</v>
      </c>
      <c r="V13" s="80" t="s">
        <v>353</v>
      </c>
      <c r="W13" s="293"/>
      <c r="X13" s="276"/>
      <c r="Y13" s="276"/>
      <c r="Z13" s="276"/>
      <c r="AA13" s="276"/>
      <c r="AB13" s="276"/>
      <c r="AC13" s="276"/>
      <c r="AD13" s="276"/>
    </row>
    <row r="14" spans="1:30" ht="82.5" x14ac:dyDescent="0.25">
      <c r="B14" s="288" t="s">
        <v>1</v>
      </c>
      <c r="C14" s="289" t="s">
        <v>991</v>
      </c>
      <c r="D14" s="65" t="s">
        <v>68</v>
      </c>
      <c r="E14" s="66" t="s">
        <v>212</v>
      </c>
      <c r="F14" s="67" t="s">
        <v>185</v>
      </c>
      <c r="G14" s="66" t="s">
        <v>320</v>
      </c>
      <c r="H14" s="68">
        <f>H19/H24</f>
        <v>0.48665304658244435</v>
      </c>
      <c r="I14" s="68">
        <f t="shared" ref="I14:U14" si="12">I19/I24</f>
        <v>0.48575945624457662</v>
      </c>
      <c r="J14" s="68">
        <f t="shared" si="12"/>
        <v>0.47846762306045104</v>
      </c>
      <c r="K14" s="68">
        <f t="shared" si="12"/>
        <v>0.50220601229669437</v>
      </c>
      <c r="L14" s="68">
        <f t="shared" si="12"/>
        <v>0.51248216567532467</v>
      </c>
      <c r="M14" s="68">
        <f t="shared" si="12"/>
        <v>0.50190490237200069</v>
      </c>
      <c r="N14" s="68">
        <f t="shared" si="12"/>
        <v>0.50691607486839407</v>
      </c>
      <c r="O14" s="68">
        <f t="shared" si="12"/>
        <v>0.51189828988411601</v>
      </c>
      <c r="P14" s="68">
        <f t="shared" si="12"/>
        <v>0.52243623758290003</v>
      </c>
      <c r="Q14" s="68">
        <f t="shared" si="12"/>
        <v>0.53864374911328228</v>
      </c>
      <c r="R14" s="68">
        <f t="shared" si="12"/>
        <v>0.55519468473346978</v>
      </c>
      <c r="S14" s="68">
        <f t="shared" si="12"/>
        <v>0.57178827219034178</v>
      </c>
      <c r="T14" s="68">
        <f t="shared" si="12"/>
        <v>0.58903944812385856</v>
      </c>
      <c r="U14" s="68">
        <f t="shared" si="12"/>
        <v>0.60733289400916979</v>
      </c>
      <c r="V14" s="66" t="s">
        <v>320</v>
      </c>
      <c r="W14" s="290">
        <f>'StG 1'!AD4</f>
        <v>50000</v>
      </c>
      <c r="X14" s="290">
        <f>'StG 1'!AE4</f>
        <v>21524000</v>
      </c>
      <c r="Y14" s="290">
        <f>'StG 1'!AF4</f>
        <v>47947000</v>
      </c>
      <c r="Z14" s="290">
        <f>'StG 1'!AG4</f>
        <v>59534000</v>
      </c>
      <c r="AA14" s="290">
        <f>'StG 1'!AH4</f>
        <v>100429000</v>
      </c>
      <c r="AB14" s="290">
        <f>'StG 1'!AI4</f>
        <v>138572000</v>
      </c>
      <c r="AC14" s="290">
        <f>'StG 1'!AJ4</f>
        <v>191677000</v>
      </c>
      <c r="AD14" s="290">
        <f>SUM(W14:AC43)</f>
        <v>559733000</v>
      </c>
    </row>
    <row r="15" spans="1:30" ht="99" x14ac:dyDescent="0.25">
      <c r="B15" s="288"/>
      <c r="C15" s="289"/>
      <c r="D15" s="62"/>
      <c r="E15" s="61" t="s">
        <v>168</v>
      </c>
      <c r="F15" s="63" t="s">
        <v>185</v>
      </c>
      <c r="G15" s="61"/>
      <c r="H15" s="71">
        <v>268</v>
      </c>
      <c r="I15" s="71">
        <v>341.1</v>
      </c>
      <c r="J15" s="71">
        <v>307.60000000000002</v>
      </c>
      <c r="K15" s="71">
        <v>299.10000000000002</v>
      </c>
      <c r="L15" s="71">
        <v>392.28399999999999</v>
      </c>
      <c r="M15" s="71">
        <f>L15*(1+_xlfn.RRI(3,$H$15,$K$15))</f>
        <v>406.90635066170864</v>
      </c>
      <c r="N15" s="71">
        <f>+(M15+O15)/2</f>
        <v>414.30508113081339</v>
      </c>
      <c r="O15" s="71">
        <f>M15*(1+_xlfn.RRI(3,$H$15,$K$15)*M5/O5)</f>
        <v>421.70381159991814</v>
      </c>
      <c r="P15" s="71">
        <f t="shared" ref="P15:U15" si="13">O15*(1+_xlfn.RRI(3,$H$15,$K$15))</f>
        <v>437.42278308127635</v>
      </c>
      <c r="Q15" s="71">
        <f t="shared" si="13"/>
        <v>453.72767780457616</v>
      </c>
      <c r="R15" s="71">
        <f t="shared" si="13"/>
        <v>470.64033600572958</v>
      </c>
      <c r="S15" s="71">
        <f t="shared" si="13"/>
        <v>488.18341201346925</v>
      </c>
      <c r="T15" s="71">
        <f t="shared" si="13"/>
        <v>506.38040459458477</v>
      </c>
      <c r="U15" s="71">
        <f t="shared" si="13"/>
        <v>525.25568843027497</v>
      </c>
      <c r="V15" s="77" t="s">
        <v>371</v>
      </c>
      <c r="W15" s="290"/>
      <c r="X15" s="290"/>
      <c r="Y15" s="290"/>
      <c r="Z15" s="290"/>
      <c r="AA15" s="290"/>
      <c r="AB15" s="290"/>
      <c r="AC15" s="290"/>
      <c r="AD15" s="290"/>
    </row>
    <row r="16" spans="1:30" x14ac:dyDescent="0.25">
      <c r="B16" s="288"/>
      <c r="C16" s="289"/>
      <c r="D16" s="62"/>
      <c r="E16" s="61" t="s">
        <v>304</v>
      </c>
      <c r="F16" s="63" t="s">
        <v>185</v>
      </c>
      <c r="G16" s="61"/>
      <c r="H16" s="71">
        <v>545.4</v>
      </c>
      <c r="I16" s="71">
        <v>626.20000000000005</v>
      </c>
      <c r="J16" s="71">
        <v>599.70000000000005</v>
      </c>
      <c r="K16" s="71">
        <v>594.6</v>
      </c>
      <c r="L16" s="71">
        <v>664.82</v>
      </c>
      <c r="M16" s="76"/>
      <c r="N16" s="76"/>
      <c r="O16" s="76"/>
      <c r="P16" s="76"/>
      <c r="Q16" s="76"/>
      <c r="R16" s="76"/>
      <c r="S16" s="76"/>
      <c r="T16" s="76"/>
      <c r="U16" s="81"/>
      <c r="V16" s="76"/>
      <c r="W16" s="290"/>
      <c r="X16" s="290"/>
      <c r="Y16" s="290"/>
      <c r="Z16" s="290"/>
      <c r="AA16" s="290"/>
      <c r="AB16" s="290"/>
      <c r="AC16" s="290"/>
      <c r="AD16" s="290"/>
    </row>
    <row r="17" spans="2:30" ht="66" x14ac:dyDescent="0.25">
      <c r="B17" s="288"/>
      <c r="C17" s="289"/>
      <c r="D17" s="62"/>
      <c r="E17" s="61" t="s">
        <v>228</v>
      </c>
      <c r="F17" s="63" t="s">
        <v>184</v>
      </c>
      <c r="G17" s="61"/>
      <c r="H17" s="77">
        <f>H16-H15</f>
        <v>277.39999999999998</v>
      </c>
      <c r="I17" s="77">
        <f>I16-I15</f>
        <v>285.10000000000002</v>
      </c>
      <c r="J17" s="77">
        <f>J16-J15</f>
        <v>292.10000000000002</v>
      </c>
      <c r="K17" s="77">
        <f>K16-K15</f>
        <v>295.5</v>
      </c>
      <c r="L17" s="77">
        <f>L16-L15</f>
        <v>272.53600000000006</v>
      </c>
      <c r="M17" s="77">
        <f>L17*(1+_xlfn.RRI(4,$H$17,$L$17))</f>
        <v>271.33338489534805</v>
      </c>
      <c r="N17" s="77">
        <f>+(M17+O17)/2</f>
        <v>282.61680269387318</v>
      </c>
      <c r="O17" s="77">
        <f>M17+(O5-M5)-(O15-M15)-(O18-M18)</f>
        <v>293.90022049239838</v>
      </c>
      <c r="P17" s="77">
        <f t="shared" ref="P17:U17" si="14">O17+(P5-O5)-(P15-O15)-(P18-O18)</f>
        <v>316.11519074045395</v>
      </c>
      <c r="Q17" s="77">
        <f t="shared" si="14"/>
        <v>344.41493565232889</v>
      </c>
      <c r="R17" s="77">
        <f>Q17+(R5-Q5)-(R15-Q15)-(R18-Q18)</f>
        <v>373.05315175181698</v>
      </c>
      <c r="S17" s="77">
        <f t="shared" si="14"/>
        <v>402.04272100852626</v>
      </c>
      <c r="T17" s="77">
        <f t="shared" si="14"/>
        <v>431.39661662370492</v>
      </c>
      <c r="U17" s="77">
        <f t="shared" si="14"/>
        <v>461.12790200313282</v>
      </c>
      <c r="V17" s="77" t="s">
        <v>354</v>
      </c>
      <c r="W17" s="290"/>
      <c r="X17" s="290"/>
      <c r="Y17" s="290"/>
      <c r="Z17" s="290"/>
      <c r="AA17" s="290"/>
      <c r="AB17" s="290"/>
      <c r="AC17" s="290"/>
      <c r="AD17" s="290"/>
    </row>
    <row r="18" spans="2:30" ht="132" x14ac:dyDescent="0.25">
      <c r="B18" s="288"/>
      <c r="C18" s="289"/>
      <c r="D18" s="62"/>
      <c r="E18" s="61" t="s">
        <v>229</v>
      </c>
      <c r="F18" s="63" t="s">
        <v>185</v>
      </c>
      <c r="G18" s="61"/>
      <c r="H18" s="71">
        <v>503.1</v>
      </c>
      <c r="I18" s="71">
        <v>451.1</v>
      </c>
      <c r="J18" s="71">
        <v>452.7</v>
      </c>
      <c r="K18" s="71">
        <v>493.7</v>
      </c>
      <c r="L18" s="71">
        <v>469.96</v>
      </c>
      <c r="M18" s="71">
        <f>L18*(1+_xlfn.RRI(4,$H$18,$L$18))</f>
        <v>462.02187641111334</v>
      </c>
      <c r="N18" s="71">
        <f>+(M18+O18)/2</f>
        <v>457.80769467630785</v>
      </c>
      <c r="O18" s="71">
        <f>M18*(1+_xlfn.RRI(4,$H$18,$L$18)*1.08)</f>
        <v>453.59351294150241</v>
      </c>
      <c r="P18" s="71">
        <f>O18*(1+_xlfn.RRI(4,$H$18,$L$18)*1.08)</f>
        <v>445.31890260437876</v>
      </c>
      <c r="Q18" s="71">
        <f t="shared" ref="Q18:S18" si="15">P18*(1+_xlfn.RRI(4,$H$18,$L$18)*1.08)</f>
        <v>437.19524058172112</v>
      </c>
      <c r="R18" s="71">
        <f t="shared" si="15"/>
        <v>429.21977322197228</v>
      </c>
      <c r="S18" s="71">
        <f t="shared" si="15"/>
        <v>421.38979710664273</v>
      </c>
      <c r="T18" s="71">
        <f>S18*(1+_xlfn.RRI(4,$H$18,$L$18)*1.08)</f>
        <v>413.70265813394155</v>
      </c>
      <c r="U18" s="71">
        <f>T18*(1+_xlfn.RRI(4,$H$18,$L$18)*1.08)</f>
        <v>406.15575061912415</v>
      </c>
      <c r="V18" s="77" t="s">
        <v>372</v>
      </c>
      <c r="W18" s="290"/>
      <c r="X18" s="290"/>
      <c r="Y18" s="290"/>
      <c r="Z18" s="290"/>
      <c r="AA18" s="290"/>
      <c r="AB18" s="290"/>
      <c r="AC18" s="290"/>
      <c r="AD18" s="290"/>
    </row>
    <row r="19" spans="2:30" ht="33" x14ac:dyDescent="0.25">
      <c r="B19" s="288"/>
      <c r="C19" s="289"/>
      <c r="D19" s="62"/>
      <c r="E19" s="69" t="s">
        <v>230</v>
      </c>
      <c r="F19" s="63" t="s">
        <v>184</v>
      </c>
      <c r="G19" s="61"/>
      <c r="H19" s="82">
        <f>H17+H18*0.7638</f>
        <v>661.66777999999999</v>
      </c>
      <c r="I19" s="82">
        <f t="shared" ref="I19:L19" si="16">I17+I18*0.7638</f>
        <v>629.65018000000009</v>
      </c>
      <c r="J19" s="82">
        <f t="shared" si="16"/>
        <v>637.8722600000001</v>
      </c>
      <c r="K19" s="82">
        <f>K17+K18*0.7638</f>
        <v>672.58806000000004</v>
      </c>
      <c r="L19" s="82">
        <f t="shared" si="16"/>
        <v>631.49144799999999</v>
      </c>
      <c r="M19" s="82">
        <f>M17+M18*0.7638</f>
        <v>624.22569409815651</v>
      </c>
      <c r="N19" s="82">
        <f>N17+N18*0.7638</f>
        <v>632.29031988763711</v>
      </c>
      <c r="O19" s="82">
        <f t="shared" ref="O19:U19" si="17">O17+O18*0.7638</f>
        <v>640.35494567711794</v>
      </c>
      <c r="P19" s="82">
        <f>P17+P18*0.7638</f>
        <v>656.24976854967849</v>
      </c>
      <c r="Q19" s="82">
        <f t="shared" si="17"/>
        <v>678.34466040864754</v>
      </c>
      <c r="R19" s="82">
        <f t="shared" si="17"/>
        <v>700.89121453875941</v>
      </c>
      <c r="S19" s="82">
        <f t="shared" si="17"/>
        <v>723.90024803858</v>
      </c>
      <c r="T19" s="82">
        <f t="shared" si="17"/>
        <v>747.38270690640957</v>
      </c>
      <c r="U19" s="82">
        <f t="shared" si="17"/>
        <v>771.34966432601982</v>
      </c>
      <c r="V19" s="279" t="s">
        <v>355</v>
      </c>
      <c r="W19" s="290"/>
      <c r="X19" s="290"/>
      <c r="Y19" s="290"/>
      <c r="Z19" s="290"/>
      <c r="AA19" s="290"/>
      <c r="AB19" s="290"/>
      <c r="AC19" s="290"/>
      <c r="AD19" s="290"/>
    </row>
    <row r="20" spans="2:30" ht="33" x14ac:dyDescent="0.25">
      <c r="B20" s="288"/>
      <c r="C20" s="289"/>
      <c r="D20" s="62"/>
      <c r="E20" s="61" t="s">
        <v>231</v>
      </c>
      <c r="F20" s="63" t="s">
        <v>185</v>
      </c>
      <c r="G20" s="61"/>
      <c r="H20" s="71">
        <v>615.9</v>
      </c>
      <c r="I20" s="71">
        <v>705.6</v>
      </c>
      <c r="J20" s="71">
        <v>659.3</v>
      </c>
      <c r="K20" s="71">
        <v>675.3</v>
      </c>
      <c r="L20" s="77">
        <v>803.52</v>
      </c>
      <c r="M20" s="76"/>
      <c r="N20" s="76"/>
      <c r="O20" s="76"/>
      <c r="P20" s="76"/>
      <c r="Q20" s="76"/>
      <c r="R20" s="76"/>
      <c r="S20" s="76"/>
      <c r="T20" s="76"/>
      <c r="U20" s="76"/>
      <c r="V20" s="280"/>
      <c r="W20" s="290"/>
      <c r="X20" s="290"/>
      <c r="Y20" s="290"/>
      <c r="Z20" s="290"/>
      <c r="AA20" s="290"/>
      <c r="AB20" s="290"/>
      <c r="AC20" s="290"/>
      <c r="AD20" s="290"/>
    </row>
    <row r="21" spans="2:30" ht="33" x14ac:dyDescent="0.25">
      <c r="B21" s="288"/>
      <c r="C21" s="289"/>
      <c r="D21" s="62"/>
      <c r="E21" s="61" t="s">
        <v>305</v>
      </c>
      <c r="F21" s="63" t="s">
        <v>185</v>
      </c>
      <c r="G21" s="61"/>
      <c r="H21" s="71">
        <v>1261.3</v>
      </c>
      <c r="I21" s="71">
        <v>1357.4</v>
      </c>
      <c r="J21" s="71">
        <v>1321</v>
      </c>
      <c r="K21" s="71">
        <v>1327.3</v>
      </c>
      <c r="L21" s="77">
        <v>1412.3689999999999</v>
      </c>
      <c r="M21" s="76"/>
      <c r="N21" s="76"/>
      <c r="O21" s="76"/>
      <c r="P21" s="76"/>
      <c r="Q21" s="76"/>
      <c r="R21" s="76"/>
      <c r="S21" s="76"/>
      <c r="T21" s="76"/>
      <c r="U21" s="81"/>
      <c r="V21" s="280"/>
      <c r="W21" s="290"/>
      <c r="X21" s="290"/>
      <c r="Y21" s="290"/>
      <c r="Z21" s="290"/>
      <c r="AA21" s="290"/>
      <c r="AB21" s="290"/>
      <c r="AC21" s="290"/>
      <c r="AD21" s="290"/>
    </row>
    <row r="22" spans="2:30" ht="33" x14ac:dyDescent="0.25">
      <c r="B22" s="288"/>
      <c r="C22" s="289"/>
      <c r="D22" s="62"/>
      <c r="E22" s="61" t="s">
        <v>232</v>
      </c>
      <c r="F22" s="63" t="s">
        <v>184</v>
      </c>
      <c r="G22" s="61"/>
      <c r="H22" s="71">
        <f>H21-H20</f>
        <v>645.4</v>
      </c>
      <c r="I22" s="71">
        <f>I21-I20</f>
        <v>651.80000000000007</v>
      </c>
      <c r="J22" s="71">
        <f>J21-J20</f>
        <v>661.7</v>
      </c>
      <c r="K22" s="71">
        <f>K21-K20</f>
        <v>652</v>
      </c>
      <c r="L22" s="71">
        <f>L21-L20</f>
        <v>608.84899999999993</v>
      </c>
      <c r="M22" s="76"/>
      <c r="N22" s="76"/>
      <c r="O22" s="76"/>
      <c r="P22" s="76"/>
      <c r="Q22" s="76"/>
      <c r="R22" s="76"/>
      <c r="S22" s="76"/>
      <c r="T22" s="76"/>
      <c r="U22" s="76"/>
      <c r="V22" s="280"/>
      <c r="W22" s="290"/>
      <c r="X22" s="290"/>
      <c r="Y22" s="290"/>
      <c r="Z22" s="290"/>
      <c r="AA22" s="290"/>
      <c r="AB22" s="290"/>
      <c r="AC22" s="290"/>
      <c r="AD22" s="290"/>
    </row>
    <row r="23" spans="2:30" ht="33" x14ac:dyDescent="0.25">
      <c r="B23" s="288"/>
      <c r="C23" s="289"/>
      <c r="D23" s="62"/>
      <c r="E23" s="61" t="s">
        <v>233</v>
      </c>
      <c r="F23" s="63" t="s">
        <v>185</v>
      </c>
      <c r="G23" s="61"/>
      <c r="H23" s="71">
        <v>935.1</v>
      </c>
      <c r="I23" s="71">
        <v>843.7</v>
      </c>
      <c r="J23" s="71">
        <v>879.1</v>
      </c>
      <c r="K23" s="71">
        <v>899.8</v>
      </c>
      <c r="L23" s="77">
        <v>816.14599999999996</v>
      </c>
      <c r="M23" s="76"/>
      <c r="N23" s="76"/>
      <c r="O23" s="76"/>
      <c r="P23" s="76"/>
      <c r="Q23" s="76"/>
      <c r="R23" s="76"/>
      <c r="S23" s="76"/>
      <c r="T23" s="76"/>
      <c r="U23" s="76"/>
      <c r="V23" s="281"/>
      <c r="W23" s="290"/>
      <c r="X23" s="290"/>
      <c r="Y23" s="290"/>
      <c r="Z23" s="290"/>
      <c r="AA23" s="290"/>
      <c r="AB23" s="290"/>
      <c r="AC23" s="290"/>
      <c r="AD23" s="290"/>
    </row>
    <row r="24" spans="2:30" ht="132" x14ac:dyDescent="0.25">
      <c r="B24" s="288"/>
      <c r="C24" s="289"/>
      <c r="D24" s="62"/>
      <c r="E24" s="272" t="s">
        <v>234</v>
      </c>
      <c r="F24" s="63" t="s">
        <v>184</v>
      </c>
      <c r="G24" s="61"/>
      <c r="H24" s="82">
        <f>H22+H23*0.7638</f>
        <v>1359.6293800000001</v>
      </c>
      <c r="I24" s="82">
        <f t="shared" ref="I24:L24" si="18">I22+I23*0.7638</f>
        <v>1296.2180600000002</v>
      </c>
      <c r="J24" s="82">
        <f t="shared" si="18"/>
        <v>1333.1565800000001</v>
      </c>
      <c r="K24" s="82">
        <f t="shared" si="18"/>
        <v>1339.2672400000001</v>
      </c>
      <c r="L24" s="82">
        <f t="shared" si="18"/>
        <v>1232.2213148000001</v>
      </c>
      <c r="M24" s="82">
        <f>L24*M6/L6</f>
        <v>1243.7130841879971</v>
      </c>
      <c r="N24" s="82">
        <f>L24*N6/L6</f>
        <v>1247.3274201292447</v>
      </c>
      <c r="O24" s="82">
        <f>M24*O6/M6</f>
        <v>1250.9417560704921</v>
      </c>
      <c r="P24" s="82">
        <f t="shared" ref="P24:U24" si="19">O24*P6/O6</f>
        <v>1256.1337084614943</v>
      </c>
      <c r="Q24" s="82">
        <f t="shared" si="19"/>
        <v>1259.3567854919722</v>
      </c>
      <c r="R24" s="82">
        <f t="shared" si="19"/>
        <v>1262.4242158860609</v>
      </c>
      <c r="S24" s="82">
        <f t="shared" si="19"/>
        <v>1266.0284990903099</v>
      </c>
      <c r="T24" s="82">
        <f t="shared" si="19"/>
        <v>1268.8160517718939</v>
      </c>
      <c r="U24" s="82">
        <f t="shared" si="19"/>
        <v>1270.0607392333563</v>
      </c>
      <c r="V24" s="89" t="s">
        <v>374</v>
      </c>
      <c r="W24" s="290"/>
      <c r="X24" s="290"/>
      <c r="Y24" s="290"/>
      <c r="Z24" s="290"/>
      <c r="AA24" s="290"/>
      <c r="AB24" s="290"/>
      <c r="AC24" s="290"/>
      <c r="AD24" s="290"/>
    </row>
    <row r="25" spans="2:30" ht="132" x14ac:dyDescent="0.25">
      <c r="B25" s="288"/>
      <c r="C25" s="289"/>
      <c r="D25" s="65" t="s">
        <v>69</v>
      </c>
      <c r="E25" s="66" t="s">
        <v>217</v>
      </c>
      <c r="F25" s="66" t="s">
        <v>206</v>
      </c>
      <c r="G25" s="66" t="s">
        <v>321</v>
      </c>
      <c r="H25" s="68">
        <f>H35/H19</f>
        <v>0.68118415589164694</v>
      </c>
      <c r="I25" s="66"/>
      <c r="J25" s="66"/>
      <c r="K25" s="68">
        <f>K35/K19</f>
        <v>0.72516631264610909</v>
      </c>
      <c r="L25" s="68">
        <f>L35/L19</f>
        <v>0.69424525698406625</v>
      </c>
      <c r="M25" s="68">
        <f>M35/M19</f>
        <v>0.69748154579537014</v>
      </c>
      <c r="N25" s="68">
        <f>N35/N19</f>
        <v>0.70134005517126274</v>
      </c>
      <c r="O25" s="68">
        <f t="shared" ref="O25:U25" si="20">O35/O19</f>
        <v>0.70510137646597659</v>
      </c>
      <c r="P25" s="68">
        <f t="shared" si="20"/>
        <v>0.71224402490727712</v>
      </c>
      <c r="Q25" s="68">
        <f t="shared" si="20"/>
        <v>0.72161674871941084</v>
      </c>
      <c r="R25" s="68">
        <f>R35/R19</f>
        <v>0.73057189455904714</v>
      </c>
      <c r="S25" s="68">
        <f t="shared" si="20"/>
        <v>0.73913561631585145</v>
      </c>
      <c r="T25" s="68">
        <f t="shared" si="20"/>
        <v>0.74733186852149935</v>
      </c>
      <c r="U25" s="68">
        <f t="shared" si="20"/>
        <v>0.75518263533777708</v>
      </c>
      <c r="V25" s="108"/>
      <c r="W25" s="290"/>
      <c r="X25" s="290"/>
      <c r="Y25" s="290"/>
      <c r="Z25" s="290"/>
      <c r="AA25" s="290"/>
      <c r="AB25" s="290"/>
      <c r="AC25" s="290"/>
      <c r="AD25" s="290"/>
    </row>
    <row r="26" spans="2:30" ht="33" x14ac:dyDescent="0.25">
      <c r="B26" s="288"/>
      <c r="C26" s="289"/>
      <c r="D26" s="62"/>
      <c r="E26" s="61" t="s">
        <v>169</v>
      </c>
      <c r="F26" s="61" t="s">
        <v>206</v>
      </c>
      <c r="G26" s="63"/>
      <c r="H26" s="84">
        <v>1</v>
      </c>
      <c r="I26" s="71"/>
      <c r="J26" s="71"/>
      <c r="K26" s="71">
        <v>0.27800000000000002</v>
      </c>
      <c r="L26" s="71">
        <v>0.63400000000000001</v>
      </c>
      <c r="M26" s="85">
        <f>L26*(1+_xlfn.RRI(4,$H$26,$L$26))</f>
        <v>0.56573307798452432</v>
      </c>
      <c r="N26" s="85">
        <f>+(M26+O26)/2</f>
        <v>0.5328383426614548</v>
      </c>
      <c r="O26" s="85">
        <f>M26*(1+_xlfn.RRI(4,$H$26,$L$26)*1.08)</f>
        <v>0.49994360733838533</v>
      </c>
      <c r="P26" s="85">
        <f>O26*(1+_xlfn.RRI(4,$H$26,$L$26)*1.08)</f>
        <v>0.44180483737837023</v>
      </c>
      <c r="Q26" s="85">
        <f t="shared" ref="Q26:U26" si="21">P26*(1+_xlfn.RRI(4,$H$26,$L$26)*1.08)</f>
        <v>0.39042706310436603</v>
      </c>
      <c r="R26" s="85">
        <f t="shared" si="21"/>
        <v>0.34502404389419078</v>
      </c>
      <c r="S26" s="85">
        <f t="shared" si="21"/>
        <v>0.30490097156323198</v>
      </c>
      <c r="T26" s="85">
        <f t="shared" si="21"/>
        <v>0.26944383762632046</v>
      </c>
      <c r="U26" s="85">
        <f t="shared" si="21"/>
        <v>0.2381100370476936</v>
      </c>
      <c r="V26" s="282" t="s">
        <v>1116</v>
      </c>
      <c r="W26" s="290"/>
      <c r="X26" s="290"/>
      <c r="Y26" s="290"/>
      <c r="Z26" s="290"/>
      <c r="AA26" s="290"/>
      <c r="AB26" s="290"/>
      <c r="AC26" s="290"/>
      <c r="AD26" s="290"/>
    </row>
    <row r="27" spans="2:30" ht="33" x14ac:dyDescent="0.25">
      <c r="B27" s="288"/>
      <c r="C27" s="289"/>
      <c r="D27" s="62"/>
      <c r="E27" s="61" t="s">
        <v>306</v>
      </c>
      <c r="F27" s="61" t="s">
        <v>206</v>
      </c>
      <c r="G27" s="63"/>
      <c r="H27" s="71">
        <v>17.821999999999999</v>
      </c>
      <c r="I27" s="71"/>
      <c r="J27" s="71"/>
      <c r="K27" s="71">
        <v>15.978999999999999</v>
      </c>
      <c r="L27" s="71">
        <v>11.523999999999999</v>
      </c>
      <c r="M27" s="85">
        <f>L27*(1+_xlfn.RRI(4,$H$27,$L$27))</f>
        <v>10.333916598396813</v>
      </c>
      <c r="N27" s="85">
        <f>+(M27+O27)/2</f>
        <v>9.7576375101163553</v>
      </c>
      <c r="O27" s="85">
        <f>M27*(1+_xlfn.RRI(4,$H$27,$L$27)*1.08)</f>
        <v>9.1813584218358972</v>
      </c>
      <c r="P27" s="85">
        <f t="shared" ref="P27:U27" si="22">O27*(1+_xlfn.RRI(4,$H$27,$L$27)*1.08)</f>
        <v>8.1573468943318854</v>
      </c>
      <c r="Q27" s="85">
        <f>P27*(1+_xlfn.RRI(4,$H$27,$L$27)*1.08)</f>
        <v>7.2475450033852731</v>
      </c>
      <c r="R27" s="85">
        <f t="shared" si="22"/>
        <v>6.4392147663345103</v>
      </c>
      <c r="S27" s="85">
        <f t="shared" si="22"/>
        <v>5.7210388880114751</v>
      </c>
      <c r="T27" s="85">
        <f t="shared" si="22"/>
        <v>5.0829623092026672</v>
      </c>
      <c r="U27" s="85">
        <f t="shared" si="22"/>
        <v>4.5160514274628873</v>
      </c>
      <c r="V27" s="283"/>
      <c r="W27" s="290"/>
      <c r="X27" s="290"/>
      <c r="Y27" s="290"/>
      <c r="Z27" s="290"/>
      <c r="AA27" s="290"/>
      <c r="AB27" s="290"/>
      <c r="AC27" s="290"/>
      <c r="AD27" s="290"/>
    </row>
    <row r="28" spans="2:30" ht="33" x14ac:dyDescent="0.25">
      <c r="B28" s="288"/>
      <c r="C28" s="289"/>
      <c r="D28" s="62"/>
      <c r="E28" s="61" t="s">
        <v>170</v>
      </c>
      <c r="F28" s="61" t="s">
        <v>184</v>
      </c>
      <c r="G28" s="63"/>
      <c r="H28" s="71">
        <f>H27-H26</f>
        <v>16.821999999999999</v>
      </c>
      <c r="I28" s="71"/>
      <c r="J28" s="71"/>
      <c r="K28" s="71">
        <f>K27-K26</f>
        <v>15.700999999999999</v>
      </c>
      <c r="L28" s="71">
        <f>L27-L26</f>
        <v>10.889999999999999</v>
      </c>
      <c r="M28" s="85">
        <f>L28*(1+_xlfn.RRI(4,$H$28,$L$28))</f>
        <v>9.768220231689746</v>
      </c>
      <c r="N28" s="85">
        <f>+(M28+O28)/2</f>
        <v>9.2248586534265176</v>
      </c>
      <c r="O28" s="85">
        <f>M28*(1+_xlfn.RRI(4,$H$28,$L$28)*1.08)</f>
        <v>8.6814970751632892</v>
      </c>
      <c r="P28" s="85">
        <f t="shared" ref="P28:U28" si="23">O28*(1+_xlfn.RRI(4,$H$28,$L$28)*1.08)</f>
        <v>7.7156728327603661</v>
      </c>
      <c r="Q28" s="85">
        <f t="shared" si="23"/>
        <v>6.8572973931545844</v>
      </c>
      <c r="R28" s="85">
        <f t="shared" si="23"/>
        <v>6.0944169818229366</v>
      </c>
      <c r="S28" s="85">
        <f t="shared" si="23"/>
        <v>5.4164076922505</v>
      </c>
      <c r="T28" s="85">
        <f t="shared" si="23"/>
        <v>4.813827536936123</v>
      </c>
      <c r="U28" s="85">
        <f t="shared" si="23"/>
        <v>4.2782849578548285</v>
      </c>
      <c r="V28" s="283"/>
      <c r="W28" s="290"/>
      <c r="X28" s="290"/>
      <c r="Y28" s="290"/>
      <c r="Z28" s="290"/>
      <c r="AA28" s="290"/>
      <c r="AB28" s="290"/>
      <c r="AC28" s="290"/>
      <c r="AD28" s="290"/>
    </row>
    <row r="29" spans="2:30" ht="33" x14ac:dyDescent="0.25">
      <c r="B29" s="288"/>
      <c r="C29" s="289"/>
      <c r="D29" s="62"/>
      <c r="E29" s="61" t="s">
        <v>171</v>
      </c>
      <c r="F29" s="61" t="s">
        <v>206</v>
      </c>
      <c r="G29" s="63"/>
      <c r="H29" s="84">
        <v>254.161</v>
      </c>
      <c r="I29" s="71"/>
      <c r="J29" s="71"/>
      <c r="K29" s="71">
        <v>221.45699999999999</v>
      </c>
      <c r="L29" s="71">
        <v>238.53299999999999</v>
      </c>
      <c r="M29" s="85">
        <f>L29*(1+_xlfn.RRI(4,$H$29,$L$29))</f>
        <v>234.77851979889675</v>
      </c>
      <c r="N29" s="85">
        <f>+(M29+O29)/2</f>
        <v>232.7830118218713</v>
      </c>
      <c r="O29" s="85">
        <f>M29*(1+_xlfn.RRI(4,$H$29,$L$29)*1.08)</f>
        <v>230.78750384484582</v>
      </c>
      <c r="P29" s="85">
        <f t="shared" ref="P29:U29" si="24">O29*(1+_xlfn.RRI(4,$H$29,$L$29)*1.08)</f>
        <v>226.8643314412148</v>
      </c>
      <c r="Q29" s="85">
        <f t="shared" si="24"/>
        <v>223.00784931089669</v>
      </c>
      <c r="R29" s="85">
        <f t="shared" si="24"/>
        <v>219.21692378142006</v>
      </c>
      <c r="S29" s="85">
        <f t="shared" si="24"/>
        <v>215.49044045168861</v>
      </c>
      <c r="T29" s="85">
        <f t="shared" si="24"/>
        <v>211.82730386438573</v>
      </c>
      <c r="U29" s="85">
        <f t="shared" si="24"/>
        <v>208.22643718394792</v>
      </c>
      <c r="V29" s="284"/>
      <c r="W29" s="290"/>
      <c r="X29" s="290"/>
      <c r="Y29" s="290"/>
      <c r="Z29" s="290"/>
      <c r="AA29" s="290"/>
      <c r="AB29" s="290"/>
      <c r="AC29" s="290"/>
      <c r="AD29" s="290"/>
    </row>
    <row r="30" spans="2:30" ht="99" x14ac:dyDescent="0.25">
      <c r="B30" s="288"/>
      <c r="C30" s="289"/>
      <c r="D30" s="62"/>
      <c r="E30" s="61" t="s">
        <v>310</v>
      </c>
      <c r="F30" s="61"/>
      <c r="G30" s="63"/>
      <c r="H30" s="82">
        <f>H28+H29*0.7638</f>
        <v>210.95017180000002</v>
      </c>
      <c r="I30" s="82"/>
      <c r="J30" s="82"/>
      <c r="K30" s="82">
        <f>K28+K29*0.7638</f>
        <v>184.84985660000001</v>
      </c>
      <c r="L30" s="82">
        <f>L28+L29*0.7638</f>
        <v>193.0815054</v>
      </c>
      <c r="M30" s="82">
        <f>M28+M29*0.7638</f>
        <v>189.0920536540871</v>
      </c>
      <c r="N30" s="82">
        <f>N28+N29*0.7638</f>
        <v>187.02452308297183</v>
      </c>
      <c r="O30" s="82">
        <f>O28+O29*0.7638</f>
        <v>184.95699251185653</v>
      </c>
      <c r="P30" s="82">
        <f t="shared" ref="P30:U30" si="25">P28+P29*0.7638</f>
        <v>180.99464918756024</v>
      </c>
      <c r="Q30" s="82">
        <f t="shared" si="25"/>
        <v>177.19069269681751</v>
      </c>
      <c r="R30" s="82">
        <f t="shared" si="25"/>
        <v>173.5323033660716</v>
      </c>
      <c r="S30" s="82">
        <f t="shared" si="25"/>
        <v>170.00800610925026</v>
      </c>
      <c r="T30" s="82">
        <f t="shared" si="25"/>
        <v>166.60752222855393</v>
      </c>
      <c r="U30" s="82">
        <f t="shared" si="25"/>
        <v>163.32163767895426</v>
      </c>
      <c r="V30" s="109" t="s">
        <v>355</v>
      </c>
      <c r="W30" s="290"/>
      <c r="X30" s="290"/>
      <c r="Y30" s="290"/>
      <c r="Z30" s="290"/>
      <c r="AA30" s="290"/>
      <c r="AB30" s="290"/>
      <c r="AC30" s="290"/>
      <c r="AD30" s="290"/>
    </row>
    <row r="31" spans="2:30" ht="33" x14ac:dyDescent="0.25">
      <c r="B31" s="288"/>
      <c r="C31" s="289"/>
      <c r="D31" s="62"/>
      <c r="E31" s="61" t="s">
        <v>172</v>
      </c>
      <c r="F31" s="61" t="s">
        <v>184</v>
      </c>
      <c r="G31" s="63"/>
      <c r="H31" s="71">
        <f>H15-H26</f>
        <v>267</v>
      </c>
      <c r="I31" s="71"/>
      <c r="J31" s="71"/>
      <c r="K31" s="71">
        <f t="shared" ref="K31:L34" si="26">K15-K26</f>
        <v>298.822</v>
      </c>
      <c r="L31" s="71">
        <f t="shared" si="26"/>
        <v>391.65</v>
      </c>
      <c r="M31" s="76"/>
      <c r="N31" s="76"/>
      <c r="O31" s="76"/>
      <c r="P31" s="76"/>
      <c r="Q31" s="76"/>
      <c r="R31" s="76"/>
      <c r="S31" s="76"/>
      <c r="T31" s="76"/>
      <c r="U31" s="76"/>
      <c r="V31" s="76"/>
      <c r="W31" s="290"/>
      <c r="X31" s="290"/>
      <c r="Y31" s="290"/>
      <c r="Z31" s="290"/>
      <c r="AA31" s="290"/>
      <c r="AB31" s="290"/>
      <c r="AC31" s="290"/>
      <c r="AD31" s="290"/>
    </row>
    <row r="32" spans="2:30" ht="33" x14ac:dyDescent="0.25">
      <c r="B32" s="288"/>
      <c r="C32" s="289"/>
      <c r="D32" s="62"/>
      <c r="E32" s="61" t="s">
        <v>309</v>
      </c>
      <c r="F32" s="61" t="s">
        <v>184</v>
      </c>
      <c r="G32" s="63"/>
      <c r="H32" s="71">
        <f>H16-H27</f>
        <v>527.57799999999997</v>
      </c>
      <c r="I32" s="71"/>
      <c r="J32" s="71"/>
      <c r="K32" s="71">
        <f t="shared" si="26"/>
        <v>578.62099999999998</v>
      </c>
      <c r="L32" s="71">
        <f t="shared" si="26"/>
        <v>653.29600000000005</v>
      </c>
      <c r="M32" s="76"/>
      <c r="N32" s="76"/>
      <c r="O32" s="76"/>
      <c r="P32" s="76"/>
      <c r="Q32" s="76"/>
      <c r="R32" s="76"/>
      <c r="S32" s="76"/>
      <c r="T32" s="76"/>
      <c r="U32" s="76"/>
      <c r="V32" s="76"/>
      <c r="W32" s="290"/>
      <c r="X32" s="290"/>
      <c r="Y32" s="290"/>
      <c r="Z32" s="290"/>
      <c r="AA32" s="290"/>
      <c r="AB32" s="290"/>
      <c r="AC32" s="290"/>
      <c r="AD32" s="290"/>
    </row>
    <row r="33" spans="2:30" ht="33" x14ac:dyDescent="0.25">
      <c r="B33" s="288"/>
      <c r="C33" s="289"/>
      <c r="D33" s="62"/>
      <c r="E33" s="61" t="s">
        <v>173</v>
      </c>
      <c r="F33" s="61" t="s">
        <v>184</v>
      </c>
      <c r="G33" s="63"/>
      <c r="H33" s="71">
        <f>H17-H28</f>
        <v>260.57799999999997</v>
      </c>
      <c r="I33" s="71"/>
      <c r="J33" s="71"/>
      <c r="K33" s="71">
        <f t="shared" si="26"/>
        <v>279.79899999999998</v>
      </c>
      <c r="L33" s="71">
        <f t="shared" si="26"/>
        <v>261.64600000000007</v>
      </c>
      <c r="M33" s="76"/>
      <c r="N33" s="76"/>
      <c r="O33" s="76"/>
      <c r="P33" s="76"/>
      <c r="Q33" s="76"/>
      <c r="R33" s="76"/>
      <c r="S33" s="76"/>
      <c r="T33" s="76"/>
      <c r="U33" s="76"/>
      <c r="V33" s="76"/>
      <c r="W33" s="290"/>
      <c r="X33" s="290"/>
      <c r="Y33" s="290"/>
      <c r="Z33" s="290"/>
      <c r="AA33" s="290"/>
      <c r="AB33" s="290"/>
      <c r="AC33" s="290"/>
      <c r="AD33" s="290"/>
    </row>
    <row r="34" spans="2:30" ht="33" x14ac:dyDescent="0.25">
      <c r="B34" s="288"/>
      <c r="C34" s="289"/>
      <c r="D34" s="62"/>
      <c r="E34" s="61" t="s">
        <v>174</v>
      </c>
      <c r="F34" s="61" t="s">
        <v>184</v>
      </c>
      <c r="G34" s="63"/>
      <c r="H34" s="71">
        <f>H18-H29</f>
        <v>248.93900000000002</v>
      </c>
      <c r="I34" s="71"/>
      <c r="J34" s="71"/>
      <c r="K34" s="71">
        <f t="shared" si="26"/>
        <v>272.24299999999999</v>
      </c>
      <c r="L34" s="71">
        <f t="shared" si="26"/>
        <v>231.42699999999999</v>
      </c>
      <c r="M34" s="81"/>
      <c r="N34" s="81"/>
      <c r="O34" s="81"/>
      <c r="P34" s="81"/>
      <c r="Q34" s="81"/>
      <c r="R34" s="76"/>
      <c r="S34" s="76"/>
      <c r="T34" s="76"/>
      <c r="U34" s="76"/>
      <c r="V34" s="76"/>
      <c r="W34" s="290"/>
      <c r="X34" s="290"/>
      <c r="Y34" s="290"/>
      <c r="Z34" s="290"/>
      <c r="AA34" s="290"/>
      <c r="AB34" s="290"/>
      <c r="AC34" s="290"/>
      <c r="AD34" s="290"/>
    </row>
    <row r="35" spans="2:30" ht="115.5" x14ac:dyDescent="0.25">
      <c r="B35" s="288"/>
      <c r="C35" s="289"/>
      <c r="D35" s="62"/>
      <c r="E35" s="69" t="s">
        <v>175</v>
      </c>
      <c r="F35" s="63" t="s">
        <v>184</v>
      </c>
      <c r="G35" s="63"/>
      <c r="H35" s="82">
        <f>H33+H34*0.7638</f>
        <v>450.71760819999997</v>
      </c>
      <c r="I35" s="82"/>
      <c r="J35" s="82"/>
      <c r="K35" s="82">
        <f t="shared" ref="K35:L35" si="27">K33+K34*0.7638</f>
        <v>487.73820339999997</v>
      </c>
      <c r="L35" s="82">
        <f t="shared" si="27"/>
        <v>438.40994260000008</v>
      </c>
      <c r="M35" s="82">
        <f>L35*(1+_xlfn.RRI(4,$H$35,$L$35))</f>
        <v>435.38590204477009</v>
      </c>
      <c r="N35" s="82">
        <f>+(M35+O35)/2</f>
        <v>443.45052783425081</v>
      </c>
      <c r="O35" s="82">
        <f>M35+(O19-M19)</f>
        <v>451.51515362373152</v>
      </c>
      <c r="P35" s="82">
        <f>O35+(P19-O19)</f>
        <v>467.40997649629207</v>
      </c>
      <c r="Q35" s="82">
        <f t="shared" ref="Q35:U35" si="28">P35+(Q19-P19)</f>
        <v>489.50486835526112</v>
      </c>
      <c r="R35" s="82">
        <f t="shared" si="28"/>
        <v>512.051422485373</v>
      </c>
      <c r="S35" s="82">
        <f t="shared" si="28"/>
        <v>535.06045598519358</v>
      </c>
      <c r="T35" s="82">
        <f t="shared" si="28"/>
        <v>558.54291485302315</v>
      </c>
      <c r="U35" s="82">
        <f t="shared" si="28"/>
        <v>582.5098722726334</v>
      </c>
      <c r="V35" s="89" t="s">
        <v>356</v>
      </c>
      <c r="W35" s="290"/>
      <c r="X35" s="290"/>
      <c r="Y35" s="290"/>
      <c r="Z35" s="290"/>
      <c r="AA35" s="290"/>
      <c r="AB35" s="290"/>
      <c r="AC35" s="290"/>
      <c r="AD35" s="290"/>
    </row>
    <row r="36" spans="2:30" ht="99" x14ac:dyDescent="0.25">
      <c r="B36" s="288"/>
      <c r="C36" s="289"/>
      <c r="D36" s="65" t="s">
        <v>70</v>
      </c>
      <c r="E36" s="66" t="s">
        <v>213</v>
      </c>
      <c r="F36" s="66" t="s">
        <v>206</v>
      </c>
      <c r="G36" s="66" t="s">
        <v>322</v>
      </c>
      <c r="H36" s="68">
        <f>H41/H19</f>
        <v>0.47087135813081299</v>
      </c>
      <c r="I36" s="66"/>
      <c r="J36" s="66"/>
      <c r="K36" s="68">
        <f>K41/K19</f>
        <v>0.3552208039494486</v>
      </c>
      <c r="L36" s="68">
        <f>L41/L19</f>
        <v>0.28192539861600785</v>
      </c>
      <c r="M36" s="68">
        <f>M41/M19</f>
        <v>0.30323757198304568</v>
      </c>
      <c r="N36" s="68">
        <f t="shared" ref="N36:U36" si="29">N41/N19</f>
        <v>0.28988517278259662</v>
      </c>
      <c r="O36" s="68">
        <f t="shared" si="29"/>
        <v>0.27686909362986567</v>
      </c>
      <c r="P36" s="68">
        <f>P41/P19</f>
        <v>0.25198030047037379</v>
      </c>
      <c r="Q36" s="68">
        <f>Q41/Q19</f>
        <v>0.2168087803712298</v>
      </c>
      <c r="R36" s="68">
        <f t="shared" si="29"/>
        <v>0.18288560483601329</v>
      </c>
      <c r="S36" s="68">
        <f t="shared" si="29"/>
        <v>0.15015629259236929</v>
      </c>
      <c r="T36" s="68">
        <f t="shared" si="29"/>
        <v>0.11856870870325525</v>
      </c>
      <c r="U36" s="68">
        <f t="shared" si="29"/>
        <v>8.8073065610763446E-2</v>
      </c>
      <c r="V36" s="69" t="s">
        <v>322</v>
      </c>
      <c r="W36" s="290"/>
      <c r="X36" s="290"/>
      <c r="Y36" s="290"/>
      <c r="Z36" s="290"/>
      <c r="AA36" s="290"/>
      <c r="AB36" s="290"/>
      <c r="AC36" s="290"/>
      <c r="AD36" s="290"/>
    </row>
    <row r="37" spans="2:30" ht="33" x14ac:dyDescent="0.25">
      <c r="B37" s="288"/>
      <c r="C37" s="289"/>
      <c r="D37" s="62"/>
      <c r="E37" s="61" t="s">
        <v>176</v>
      </c>
      <c r="F37" s="61" t="s">
        <v>206</v>
      </c>
      <c r="G37" s="61"/>
      <c r="H37" s="77">
        <v>138.63800000000001</v>
      </c>
      <c r="I37" s="77"/>
      <c r="J37" s="77"/>
      <c r="K37" s="77">
        <v>109.669</v>
      </c>
      <c r="L37" s="77">
        <v>136.453</v>
      </c>
      <c r="M37" s="76"/>
      <c r="N37" s="76"/>
      <c r="O37" s="76"/>
      <c r="P37" s="76"/>
      <c r="Q37" s="76"/>
      <c r="R37" s="76"/>
      <c r="S37" s="76"/>
      <c r="T37" s="76"/>
      <c r="U37" s="76"/>
      <c r="V37" s="76"/>
      <c r="W37" s="290"/>
      <c r="X37" s="290"/>
      <c r="Y37" s="290"/>
      <c r="Z37" s="290"/>
      <c r="AA37" s="290"/>
      <c r="AB37" s="290"/>
      <c r="AC37" s="290"/>
      <c r="AD37" s="290"/>
    </row>
    <row r="38" spans="2:30" ht="33" x14ac:dyDescent="0.25">
      <c r="B38" s="288"/>
      <c r="C38" s="289"/>
      <c r="D38" s="62"/>
      <c r="E38" s="61" t="s">
        <v>311</v>
      </c>
      <c r="F38" s="61" t="s">
        <v>206</v>
      </c>
      <c r="G38" s="61"/>
      <c r="H38" s="77">
        <v>299.61599999999999</v>
      </c>
      <c r="I38" s="77"/>
      <c r="J38" s="77"/>
      <c r="K38" s="77">
        <v>243.86699999999999</v>
      </c>
      <c r="L38" s="77">
        <v>236.12899999999999</v>
      </c>
      <c r="M38" s="76"/>
      <c r="N38" s="76"/>
      <c r="O38" s="76"/>
      <c r="P38" s="76"/>
      <c r="Q38" s="76"/>
      <c r="R38" s="76"/>
      <c r="S38" s="76"/>
      <c r="T38" s="76"/>
      <c r="U38" s="76"/>
      <c r="V38" s="76"/>
      <c r="W38" s="290"/>
      <c r="X38" s="290"/>
      <c r="Y38" s="290"/>
      <c r="Z38" s="290"/>
      <c r="AA38" s="290"/>
      <c r="AB38" s="290"/>
      <c r="AC38" s="290"/>
      <c r="AD38" s="290"/>
    </row>
    <row r="39" spans="2:30" ht="33" x14ac:dyDescent="0.25">
      <c r="B39" s="288"/>
      <c r="C39" s="289"/>
      <c r="D39" s="62"/>
      <c r="E39" s="61" t="s">
        <v>177</v>
      </c>
      <c r="F39" s="61" t="s">
        <v>184</v>
      </c>
      <c r="G39" s="61"/>
      <c r="H39" s="77">
        <f>H38-H37</f>
        <v>160.97799999999998</v>
      </c>
      <c r="I39" s="77"/>
      <c r="J39" s="77"/>
      <c r="K39" s="77">
        <f>K38-K37</f>
        <v>134.19799999999998</v>
      </c>
      <c r="L39" s="77">
        <f>L38-L37</f>
        <v>99.675999999999988</v>
      </c>
      <c r="M39" s="76"/>
      <c r="N39" s="76"/>
      <c r="O39" s="76"/>
      <c r="P39" s="76"/>
      <c r="Q39" s="76"/>
      <c r="R39" s="76"/>
      <c r="S39" s="76"/>
      <c r="T39" s="76"/>
      <c r="U39" s="76"/>
      <c r="V39" s="76"/>
      <c r="W39" s="290"/>
      <c r="X39" s="290"/>
      <c r="Y39" s="290"/>
      <c r="Z39" s="290"/>
      <c r="AA39" s="290"/>
      <c r="AB39" s="290"/>
      <c r="AC39" s="290"/>
      <c r="AD39" s="290"/>
    </row>
    <row r="40" spans="2:30" ht="33" x14ac:dyDescent="0.25">
      <c r="B40" s="288"/>
      <c r="C40" s="289"/>
      <c r="D40" s="62"/>
      <c r="E40" s="61" t="s">
        <v>178</v>
      </c>
      <c r="F40" s="61" t="s">
        <v>206</v>
      </c>
      <c r="G40" s="61"/>
      <c r="H40" s="77">
        <v>197.149</v>
      </c>
      <c r="I40" s="77"/>
      <c r="J40" s="77"/>
      <c r="K40" s="77">
        <v>137.10300000000001</v>
      </c>
      <c r="L40" s="77">
        <v>102.589</v>
      </c>
      <c r="M40" s="76"/>
      <c r="N40" s="76"/>
      <c r="O40" s="76"/>
      <c r="P40" s="76"/>
      <c r="Q40" s="76"/>
      <c r="R40" s="76"/>
      <c r="S40" s="76"/>
      <c r="T40" s="76"/>
      <c r="U40" s="76"/>
      <c r="V40" s="76"/>
      <c r="W40" s="290"/>
      <c r="X40" s="290"/>
      <c r="Y40" s="290"/>
      <c r="Z40" s="290"/>
      <c r="AA40" s="290"/>
      <c r="AB40" s="290"/>
      <c r="AC40" s="290"/>
      <c r="AD40" s="290"/>
    </row>
    <row r="41" spans="2:30" ht="99" x14ac:dyDescent="0.25">
      <c r="B41" s="288"/>
      <c r="C41" s="289"/>
      <c r="D41" s="62"/>
      <c r="E41" s="61" t="s">
        <v>179</v>
      </c>
      <c r="F41" s="61" t="s">
        <v>184</v>
      </c>
      <c r="G41" s="61"/>
      <c r="H41" s="71">
        <f t="shared" ref="H41" si="30">H39+H40*0.7638</f>
        <v>311.56040619999999</v>
      </c>
      <c r="I41" s="77"/>
      <c r="J41" s="77"/>
      <c r="K41" s="71">
        <f t="shared" ref="K41:L41" si="31">K39+K40*0.7638</f>
        <v>238.9172714</v>
      </c>
      <c r="L41" s="71">
        <f t="shared" si="31"/>
        <v>178.03347819999999</v>
      </c>
      <c r="M41" s="71">
        <f>L41-(M19-L19)+(L30-M30)</f>
        <v>189.28868384775637</v>
      </c>
      <c r="N41" s="71">
        <f>+(M41+O41)/2</f>
        <v>183.29158862939096</v>
      </c>
      <c r="O41" s="71">
        <f>M41-(O19-M19)+(M30-O30)</f>
        <v>177.29449341102551</v>
      </c>
      <c r="P41" s="71">
        <f t="shared" ref="P41:U41" si="32">O41-(P19-O19)+(O30-P30)</f>
        <v>165.36201386276124</v>
      </c>
      <c r="Q41" s="71">
        <f t="shared" si="32"/>
        <v>147.07107849453493</v>
      </c>
      <c r="R41" s="71">
        <f t="shared" si="32"/>
        <v>128.18291369516896</v>
      </c>
      <c r="S41" s="71">
        <f t="shared" si="32"/>
        <v>108.69817745216972</v>
      </c>
      <c r="T41" s="71">
        <f t="shared" si="32"/>
        <v>88.61620246503648</v>
      </c>
      <c r="U41" s="71">
        <f t="shared" si="32"/>
        <v>67.935129595025899</v>
      </c>
      <c r="V41" s="76" t="s">
        <v>357</v>
      </c>
      <c r="W41" s="290"/>
      <c r="X41" s="290"/>
      <c r="Y41" s="290"/>
      <c r="Z41" s="290"/>
      <c r="AA41" s="290"/>
      <c r="AB41" s="290"/>
      <c r="AC41" s="290"/>
      <c r="AD41" s="290"/>
    </row>
    <row r="42" spans="2:30" ht="132" x14ac:dyDescent="0.25">
      <c r="B42" s="288"/>
      <c r="C42" s="289"/>
      <c r="D42" s="65" t="s">
        <v>164</v>
      </c>
      <c r="E42" s="66" t="s">
        <v>948</v>
      </c>
      <c r="F42" s="66" t="s">
        <v>181</v>
      </c>
      <c r="G42" s="66" t="s">
        <v>317</v>
      </c>
      <c r="H42" s="86">
        <f>H43</f>
        <v>173391</v>
      </c>
      <c r="I42" s="86">
        <f t="shared" ref="I42:J42" si="33">I43</f>
        <v>183465.37803489558</v>
      </c>
      <c r="J42" s="86">
        <f t="shared" si="33"/>
        <v>190673.80763772962</v>
      </c>
      <c r="K42" s="86">
        <f>K43</f>
        <v>205111.38147474569</v>
      </c>
      <c r="L42" s="86">
        <f>L43</f>
        <v>236862.44524498453</v>
      </c>
      <c r="M42" s="86">
        <f>M43</f>
        <v>259980.00493594623</v>
      </c>
      <c r="N42" s="86">
        <f t="shared" ref="N42:U42" si="34">N43</f>
        <v>275578.80523210304</v>
      </c>
      <c r="O42" s="86">
        <f t="shared" si="34"/>
        <v>291177.60552825982</v>
      </c>
      <c r="P42" s="86">
        <f t="shared" si="34"/>
        <v>326118.91819165106</v>
      </c>
      <c r="Q42" s="86">
        <f t="shared" si="34"/>
        <v>365253.18837464921</v>
      </c>
      <c r="R42" s="86">
        <f t="shared" si="34"/>
        <v>409083.57097960718</v>
      </c>
      <c r="S42" s="86">
        <f t="shared" si="34"/>
        <v>458173.59949716006</v>
      </c>
      <c r="T42" s="86">
        <f t="shared" si="34"/>
        <v>513154.43143681932</v>
      </c>
      <c r="U42" s="86">
        <f t="shared" si="34"/>
        <v>574732.96320923767</v>
      </c>
      <c r="V42" s="80" t="s">
        <v>1115</v>
      </c>
      <c r="W42" s="290"/>
      <c r="X42" s="290"/>
      <c r="Y42" s="290"/>
      <c r="Z42" s="290"/>
      <c r="AA42" s="290"/>
      <c r="AB42" s="290"/>
      <c r="AC42" s="290"/>
      <c r="AD42" s="290"/>
    </row>
    <row r="43" spans="2:30" ht="49.5" x14ac:dyDescent="0.25">
      <c r="B43" s="288"/>
      <c r="C43" s="289"/>
      <c r="D43" s="62"/>
      <c r="E43" s="61" t="s">
        <v>947</v>
      </c>
      <c r="F43" s="61" t="s">
        <v>181</v>
      </c>
      <c r="G43" s="63"/>
      <c r="H43" s="87">
        <v>173391</v>
      </c>
      <c r="I43" s="87">
        <v>183465.37803489558</v>
      </c>
      <c r="J43" s="87">
        <v>190673.80763772962</v>
      </c>
      <c r="K43" s="87">
        <v>205111.38147474569</v>
      </c>
      <c r="L43" s="87">
        <v>236862.44524498453</v>
      </c>
      <c r="M43" s="87">
        <f>L43*((1+_xlfn.RRI(3,$H$43,$K$43))+4%)</f>
        <v>259980.00493594623</v>
      </c>
      <c r="N43" s="87">
        <f>+(M43+O43)/2</f>
        <v>275578.80523210304</v>
      </c>
      <c r="O43" s="87">
        <f>M43*1.12</f>
        <v>291177.60552825982</v>
      </c>
      <c r="P43" s="87">
        <f t="shared" ref="P43:U43" si="35">O43*1.12</f>
        <v>326118.91819165106</v>
      </c>
      <c r="Q43" s="87">
        <f t="shared" si="35"/>
        <v>365253.18837464921</v>
      </c>
      <c r="R43" s="87">
        <f t="shared" si="35"/>
        <v>409083.57097960718</v>
      </c>
      <c r="S43" s="87">
        <f t="shared" si="35"/>
        <v>458173.59949716006</v>
      </c>
      <c r="T43" s="87">
        <f t="shared" si="35"/>
        <v>513154.43143681932</v>
      </c>
      <c r="U43" s="87">
        <f t="shared" si="35"/>
        <v>574732.96320923767</v>
      </c>
      <c r="V43" s="76"/>
      <c r="W43" s="290"/>
      <c r="X43" s="290"/>
      <c r="Y43" s="290"/>
      <c r="Z43" s="290"/>
      <c r="AA43" s="290"/>
      <c r="AB43" s="290"/>
      <c r="AC43" s="290"/>
      <c r="AD43" s="290"/>
    </row>
    <row r="44" spans="2:30" ht="66" x14ac:dyDescent="0.25">
      <c r="B44" s="288" t="s">
        <v>2</v>
      </c>
      <c r="C44" s="289" t="s">
        <v>992</v>
      </c>
      <c r="D44" s="65" t="s">
        <v>71</v>
      </c>
      <c r="E44" s="66" t="s">
        <v>218</v>
      </c>
      <c r="F44" s="66" t="s">
        <v>206</v>
      </c>
      <c r="G44" s="66" t="s">
        <v>316</v>
      </c>
      <c r="H44" s="68">
        <f t="shared" ref="H44:M44" si="36">SUM(H45:H46)/H47</f>
        <v>0.40985442329227323</v>
      </c>
      <c r="I44" s="68">
        <f t="shared" si="36"/>
        <v>0.39922574401161376</v>
      </c>
      <c r="J44" s="68">
        <f t="shared" si="36"/>
        <v>0.40716180371352784</v>
      </c>
      <c r="K44" s="68">
        <f t="shared" si="36"/>
        <v>0.38699274388605215</v>
      </c>
      <c r="L44" s="68">
        <f t="shared" si="36"/>
        <v>0.35162488011250304</v>
      </c>
      <c r="M44" s="68">
        <f t="shared" si="36"/>
        <v>0.32944684798771345</v>
      </c>
      <c r="N44" s="68">
        <f t="shared" ref="N44:U44" si="37">SUM(N45:N46)/N47</f>
        <v>0.32066805417959809</v>
      </c>
      <c r="O44" s="68">
        <f t="shared" si="37"/>
        <v>0.31183595768850214</v>
      </c>
      <c r="P44" s="68">
        <f t="shared" si="37"/>
        <v>0.29548155454886471</v>
      </c>
      <c r="Q44" s="68">
        <f t="shared" si="37"/>
        <v>0.27684384198479534</v>
      </c>
      <c r="R44" s="68">
        <f t="shared" si="37"/>
        <v>0.25689927020776776</v>
      </c>
      <c r="S44" s="68">
        <f t="shared" si="37"/>
        <v>0.23648230200625212</v>
      </c>
      <c r="T44" s="68">
        <f t="shared" si="37"/>
        <v>0.21476704812076286</v>
      </c>
      <c r="U44" s="68">
        <f t="shared" si="37"/>
        <v>0.19649825954394742</v>
      </c>
      <c r="V44" s="80"/>
      <c r="W44" s="276">
        <f>'StG 2'!AD4</f>
        <v>53000</v>
      </c>
      <c r="X44" s="276">
        <f>'StG 2'!AE4</f>
        <v>13640000</v>
      </c>
      <c r="Y44" s="276">
        <f>'StG 2'!AF4</f>
        <v>19002000</v>
      </c>
      <c r="Z44" s="276">
        <f>'StG 2'!AG4</f>
        <v>29758000</v>
      </c>
      <c r="AA44" s="276">
        <f>'StG 2'!AH4</f>
        <v>41489000</v>
      </c>
      <c r="AB44" s="276">
        <f>'StG 2'!AI4</f>
        <v>53919000</v>
      </c>
      <c r="AC44" s="276">
        <f>'StG 2'!AJ4</f>
        <v>69565000</v>
      </c>
      <c r="AD44" s="276">
        <f>SUM(W44:AC52)</f>
        <v>227426000</v>
      </c>
    </row>
    <row r="45" spans="2:30" ht="33.75" customHeight="1" x14ac:dyDescent="0.25">
      <c r="B45" s="288"/>
      <c r="C45" s="289"/>
      <c r="D45" s="62"/>
      <c r="E45" s="61" t="s">
        <v>193</v>
      </c>
      <c r="F45" s="61" t="s">
        <v>185</v>
      </c>
      <c r="G45" s="63"/>
      <c r="H45" s="71">
        <v>78.5</v>
      </c>
      <c r="I45" s="71">
        <v>67.900000000000006</v>
      </c>
      <c r="J45" s="71">
        <v>62.4</v>
      </c>
      <c r="K45" s="71">
        <v>58</v>
      </c>
      <c r="L45" s="71">
        <v>48.84</v>
      </c>
      <c r="M45" s="71">
        <f t="shared" ref="M45:U45" si="38">L45*(1+_xlfn.RRI(4,$H$45,$K$45)*M5/L5)</f>
        <v>45.209858173282527</v>
      </c>
      <c r="N45" s="71">
        <f>+(M45+O45)/2</f>
        <v>43.521404526414031</v>
      </c>
      <c r="O45" s="71">
        <f>M45*(1+_xlfn.RRI(4,$H$45,$K$45)*O5/M5)</f>
        <v>41.832950879545528</v>
      </c>
      <c r="P45" s="71">
        <f t="shared" si="38"/>
        <v>38.708278459600571</v>
      </c>
      <c r="Q45" s="71">
        <f t="shared" si="38"/>
        <v>35.802896674732004</v>
      </c>
      <c r="R45" s="71">
        <f t="shared" si="38"/>
        <v>33.115588223314738</v>
      </c>
      <c r="S45" s="71">
        <f t="shared" si="38"/>
        <v>30.629984867959024</v>
      </c>
      <c r="T45" s="71">
        <f t="shared" si="38"/>
        <v>28.330946945126893</v>
      </c>
      <c r="U45" s="71">
        <f t="shared" si="38"/>
        <v>26.204471150333855</v>
      </c>
      <c r="V45" s="286" t="s">
        <v>376</v>
      </c>
      <c r="W45" s="276"/>
      <c r="X45" s="276"/>
      <c r="Y45" s="276"/>
      <c r="Z45" s="276"/>
      <c r="AA45" s="276"/>
      <c r="AB45" s="276"/>
      <c r="AC45" s="276"/>
      <c r="AD45" s="276"/>
    </row>
    <row r="46" spans="2:30" ht="51.75" customHeight="1" x14ac:dyDescent="0.25">
      <c r="B46" s="288"/>
      <c r="C46" s="289"/>
      <c r="D46" s="62"/>
      <c r="E46" s="61" t="s">
        <v>194</v>
      </c>
      <c r="F46" s="61" t="s">
        <v>185</v>
      </c>
      <c r="G46" s="63"/>
      <c r="H46" s="71">
        <v>104.5</v>
      </c>
      <c r="I46" s="71">
        <v>97.1</v>
      </c>
      <c r="J46" s="71">
        <v>91.1</v>
      </c>
      <c r="K46" s="71">
        <v>86</v>
      </c>
      <c r="L46" s="71">
        <v>70.677999999999997</v>
      </c>
      <c r="M46" s="71">
        <f t="shared" ref="M46:U46" si="39">L46*(1+_xlfn.RRI(4,$H$46,$K$46)*M5/L5)</f>
        <v>67.250689957610462</v>
      </c>
      <c r="N46" s="71">
        <f>+(M46+O46)/2</f>
        <v>65.612086200176492</v>
      </c>
      <c r="O46" s="71">
        <f>M46*(1+_xlfn.RRI(4,$H$46,$K$46)*O5/M5)</f>
        <v>63.973482442742522</v>
      </c>
      <c r="P46" s="71">
        <f t="shared" si="39"/>
        <v>60.855977216464879</v>
      </c>
      <c r="Q46" s="71">
        <f t="shared" si="39"/>
        <v>57.875925522608981</v>
      </c>
      <c r="R46" s="71">
        <f t="shared" si="39"/>
        <v>55.041803752225753</v>
      </c>
      <c r="S46" s="71">
        <f t="shared" si="39"/>
        <v>52.346465874053848</v>
      </c>
      <c r="T46" s="71">
        <f t="shared" si="39"/>
        <v>49.783115790290196</v>
      </c>
      <c r="U46" s="71">
        <f t="shared" si="39"/>
        <v>47.345290200725266</v>
      </c>
      <c r="V46" s="286"/>
      <c r="W46" s="276"/>
      <c r="X46" s="276"/>
      <c r="Y46" s="276"/>
      <c r="Z46" s="276"/>
      <c r="AA46" s="276"/>
      <c r="AB46" s="276"/>
      <c r="AC46" s="276"/>
      <c r="AD46" s="276"/>
    </row>
    <row r="47" spans="2:30" ht="132" x14ac:dyDescent="0.25">
      <c r="B47" s="288"/>
      <c r="C47" s="289"/>
      <c r="D47" s="62"/>
      <c r="E47" s="61" t="s">
        <v>375</v>
      </c>
      <c r="F47" s="61" t="s">
        <v>185</v>
      </c>
      <c r="G47" s="63"/>
      <c r="H47" s="71">
        <v>446.5</v>
      </c>
      <c r="I47" s="71">
        <v>413.30000000000007</v>
      </c>
      <c r="J47" s="71">
        <v>377</v>
      </c>
      <c r="K47" s="71">
        <v>372.09999999999997</v>
      </c>
      <c r="L47" s="71">
        <v>339.90199999999999</v>
      </c>
      <c r="M47" s="71">
        <v>341.36173655268101</v>
      </c>
      <c r="N47" s="71">
        <f>+(M47+O47)/2</f>
        <v>340.33165856137202</v>
      </c>
      <c r="O47" s="71">
        <v>339.30158057006298</v>
      </c>
      <c r="P47" s="71">
        <v>336.95590856112199</v>
      </c>
      <c r="Q47" s="71">
        <v>338.38145550113398</v>
      </c>
      <c r="R47" s="71">
        <v>343.159371002662</v>
      </c>
      <c r="S47" s="71">
        <v>350.87805741936302</v>
      </c>
      <c r="T47" s="71">
        <v>363.71530650965502</v>
      </c>
      <c r="U47" s="71">
        <v>374.30235525627899</v>
      </c>
      <c r="V47" s="73" t="s">
        <v>373</v>
      </c>
      <c r="W47" s="276"/>
      <c r="X47" s="276"/>
      <c r="Y47" s="276"/>
      <c r="Z47" s="276"/>
      <c r="AA47" s="276"/>
      <c r="AB47" s="276"/>
      <c r="AC47" s="276"/>
      <c r="AD47" s="276"/>
    </row>
    <row r="48" spans="2:30" ht="66" x14ac:dyDescent="0.25">
      <c r="B48" s="288"/>
      <c r="C48" s="289"/>
      <c r="D48" s="65" t="s">
        <v>75</v>
      </c>
      <c r="E48" s="66" t="s">
        <v>219</v>
      </c>
      <c r="F48" s="67" t="s">
        <v>185</v>
      </c>
      <c r="G48" s="66" t="s">
        <v>315</v>
      </c>
      <c r="H48" s="68">
        <v>0.54100000000000004</v>
      </c>
      <c r="I48" s="68">
        <v>0.55899999999999994</v>
      </c>
      <c r="J48" s="68">
        <v>0.53299999999999992</v>
      </c>
      <c r="K48" s="68">
        <v>0.56499999999999995</v>
      </c>
      <c r="L48" s="68">
        <f>L52/L49</f>
        <v>0.53300129494969617</v>
      </c>
      <c r="M48" s="68">
        <f t="shared" ref="M48:U48" si="40">M52/M49</f>
        <v>0.58490612940052711</v>
      </c>
      <c r="N48" s="68">
        <f t="shared" si="40"/>
        <v>0.60762216469993002</v>
      </c>
      <c r="O48" s="68">
        <f t="shared" si="40"/>
        <v>0.63143867502527307</v>
      </c>
      <c r="P48" s="68">
        <f t="shared" si="40"/>
        <v>0.67492631879804155</v>
      </c>
      <c r="Q48" s="68">
        <f t="shared" si="40"/>
        <v>0.72278222835444117</v>
      </c>
      <c r="R48" s="68">
        <f t="shared" si="40"/>
        <v>0.76382073245872384</v>
      </c>
      <c r="S48" s="68">
        <f t="shared" si="40"/>
        <v>0.79204322736617105</v>
      </c>
      <c r="T48" s="68">
        <f t="shared" si="40"/>
        <v>0.79543349124191409</v>
      </c>
      <c r="U48" s="68">
        <f t="shared" si="40"/>
        <v>0.78654041591079704</v>
      </c>
      <c r="V48" s="69" t="s">
        <v>315</v>
      </c>
      <c r="W48" s="276"/>
      <c r="X48" s="276"/>
      <c r="Y48" s="276"/>
      <c r="Z48" s="276"/>
      <c r="AA48" s="276"/>
      <c r="AB48" s="276"/>
      <c r="AC48" s="276"/>
      <c r="AD48" s="276"/>
    </row>
    <row r="49" spans="2:30" ht="132" x14ac:dyDescent="0.25">
      <c r="B49" s="288"/>
      <c r="C49" s="289"/>
      <c r="D49" s="88"/>
      <c r="E49" s="61" t="s">
        <v>377</v>
      </c>
      <c r="F49" s="61" t="s">
        <v>185</v>
      </c>
      <c r="G49" s="73"/>
      <c r="H49" s="89"/>
      <c r="I49" s="89"/>
      <c r="J49" s="89"/>
      <c r="K49" s="89"/>
      <c r="L49" s="71">
        <v>200.78</v>
      </c>
      <c r="M49" s="71">
        <v>188.82228188578461</v>
      </c>
      <c r="N49" s="71">
        <f>+(M49+O49)/2</f>
        <v>184.4598836436034</v>
      </c>
      <c r="O49" s="71">
        <v>180.09748540142218</v>
      </c>
      <c r="P49" s="71">
        <v>173.11226356027851</v>
      </c>
      <c r="Q49" s="71">
        <v>165.7734097173099</v>
      </c>
      <c r="R49" s="71">
        <v>160.57720226179151</v>
      </c>
      <c r="S49" s="71">
        <v>158.25845079538377</v>
      </c>
      <c r="T49" s="71">
        <v>160.80651068639557</v>
      </c>
      <c r="U49" s="71">
        <v>165.72410922881019</v>
      </c>
      <c r="V49" s="73" t="s">
        <v>373</v>
      </c>
      <c r="W49" s="276"/>
      <c r="X49" s="276"/>
      <c r="Y49" s="276"/>
      <c r="Z49" s="276"/>
      <c r="AA49" s="276"/>
      <c r="AB49" s="276"/>
      <c r="AC49" s="276"/>
      <c r="AD49" s="276"/>
    </row>
    <row r="50" spans="2:30" ht="82.5" x14ac:dyDescent="0.25">
      <c r="B50" s="288"/>
      <c r="C50" s="289"/>
      <c r="D50" s="65" t="s">
        <v>166</v>
      </c>
      <c r="E50" s="90" t="s">
        <v>351</v>
      </c>
      <c r="F50" s="66" t="s">
        <v>206</v>
      </c>
      <c r="G50" s="66" t="s">
        <v>314</v>
      </c>
      <c r="H50" s="68">
        <f t="shared" ref="H50:U50" si="41">SUM(H45:H46)/SUM(H51:H52)</f>
        <v>0.89137847053093033</v>
      </c>
      <c r="I50" s="68">
        <f t="shared" si="41"/>
        <v>0.82089552238805974</v>
      </c>
      <c r="J50" s="68">
        <f t="shared" si="41"/>
        <v>0.88016055045871555</v>
      </c>
      <c r="K50" s="68">
        <f t="shared" si="41"/>
        <v>0.81309994353472614</v>
      </c>
      <c r="L50" s="68">
        <f t="shared" si="41"/>
        <v>0.70769704469958483</v>
      </c>
      <c r="M50" s="68">
        <f t="shared" si="41"/>
        <v>0.63919665395971226</v>
      </c>
      <c r="N50" s="68">
        <f t="shared" si="41"/>
        <v>0.60877451340134259</v>
      </c>
      <c r="O50" s="68">
        <f t="shared" si="41"/>
        <v>0.57946101709062037</v>
      </c>
      <c r="P50" s="68">
        <f t="shared" si="41"/>
        <v>0.52725043546223616</v>
      </c>
      <c r="Q50" s="68">
        <f t="shared" si="41"/>
        <v>0.48108963886116607</v>
      </c>
      <c r="R50" s="68">
        <f t="shared" si="41"/>
        <v>0.44025071684072026</v>
      </c>
      <c r="S50" s="68">
        <f t="shared" si="41"/>
        <v>0.40392665356566027</v>
      </c>
      <c r="T50" s="68">
        <f t="shared" si="41"/>
        <v>0.37146417058294984</v>
      </c>
      <c r="U50" s="68">
        <f t="shared" si="41"/>
        <v>0.34232877507975068</v>
      </c>
      <c r="V50" s="69" t="s">
        <v>314</v>
      </c>
      <c r="W50" s="276"/>
      <c r="X50" s="276"/>
      <c r="Y50" s="276"/>
      <c r="Z50" s="276"/>
      <c r="AA50" s="276"/>
      <c r="AB50" s="276"/>
      <c r="AC50" s="276"/>
      <c r="AD50" s="276"/>
    </row>
    <row r="51" spans="2:30" ht="33" x14ac:dyDescent="0.25">
      <c r="B51" s="288"/>
      <c r="C51" s="289"/>
      <c r="D51" s="62"/>
      <c r="E51" s="61" t="s">
        <v>195</v>
      </c>
      <c r="F51" s="61" t="s">
        <v>185</v>
      </c>
      <c r="G51" s="63"/>
      <c r="H51" s="71">
        <v>76.3</v>
      </c>
      <c r="I51" s="71">
        <v>74.8</v>
      </c>
      <c r="J51" s="71">
        <v>65.400000000000006</v>
      </c>
      <c r="K51" s="71">
        <v>60.3</v>
      </c>
      <c r="L51" s="71">
        <v>61.866999999999997</v>
      </c>
      <c r="M51" s="81">
        <f t="shared" ref="M51:U52" si="42">L51+(L45-M45)</f>
        <v>65.497141826717467</v>
      </c>
      <c r="N51" s="81">
        <f>+(M51+O51)/2</f>
        <v>67.185595473585963</v>
      </c>
      <c r="O51" s="81">
        <f>M51+(M45-O45)</f>
        <v>68.874049120454458</v>
      </c>
      <c r="P51" s="81">
        <f t="shared" si="42"/>
        <v>71.998721540399416</v>
      </c>
      <c r="Q51" s="81">
        <f t="shared" si="42"/>
        <v>74.904103325267982</v>
      </c>
      <c r="R51" s="81">
        <f t="shared" si="42"/>
        <v>77.591411776685248</v>
      </c>
      <c r="S51" s="81">
        <f t="shared" si="42"/>
        <v>80.07701513204097</v>
      </c>
      <c r="T51" s="81">
        <f t="shared" si="42"/>
        <v>82.376053054873097</v>
      </c>
      <c r="U51" s="81">
        <f t="shared" si="42"/>
        <v>84.502528849666135</v>
      </c>
      <c r="V51" s="277" t="s">
        <v>1114</v>
      </c>
      <c r="W51" s="276"/>
      <c r="X51" s="276"/>
      <c r="Y51" s="276"/>
      <c r="Z51" s="276"/>
      <c r="AA51" s="276"/>
      <c r="AB51" s="276"/>
      <c r="AC51" s="276"/>
      <c r="AD51" s="276"/>
    </row>
    <row r="52" spans="2:30" ht="33" x14ac:dyDescent="0.25">
      <c r="B52" s="288"/>
      <c r="C52" s="289"/>
      <c r="D52" s="62"/>
      <c r="E52" s="61" t="s">
        <v>196</v>
      </c>
      <c r="F52" s="61" t="s">
        <v>185</v>
      </c>
      <c r="G52" s="63"/>
      <c r="H52" s="71">
        <v>129</v>
      </c>
      <c r="I52" s="71">
        <v>126.2</v>
      </c>
      <c r="J52" s="71">
        <v>109</v>
      </c>
      <c r="K52" s="71">
        <v>116.8</v>
      </c>
      <c r="L52" s="71">
        <v>107.01600000000001</v>
      </c>
      <c r="M52" s="81">
        <f t="shared" si="42"/>
        <v>110.44331004238954</v>
      </c>
      <c r="N52" s="81">
        <f>+(M52+O52)/2</f>
        <v>112.08191379982351</v>
      </c>
      <c r="O52" s="81">
        <f>M52+(M46-O46)</f>
        <v>113.72051755725748</v>
      </c>
      <c r="P52" s="81">
        <f t="shared" si="42"/>
        <v>116.83802278353512</v>
      </c>
      <c r="Q52" s="81">
        <f t="shared" si="42"/>
        <v>119.81807447739102</v>
      </c>
      <c r="R52" s="81">
        <f t="shared" si="42"/>
        <v>122.65219624777424</v>
      </c>
      <c r="S52" s="81">
        <f t="shared" si="42"/>
        <v>125.34753412594614</v>
      </c>
      <c r="T52" s="81">
        <f t="shared" si="42"/>
        <v>127.91088420970979</v>
      </c>
      <c r="U52" s="81">
        <f t="shared" si="42"/>
        <v>130.34870979927473</v>
      </c>
      <c r="V52" s="277"/>
      <c r="W52" s="276"/>
      <c r="X52" s="276"/>
      <c r="Y52" s="276"/>
      <c r="Z52" s="276"/>
      <c r="AA52" s="276"/>
      <c r="AB52" s="276"/>
      <c r="AC52" s="276"/>
      <c r="AD52" s="276"/>
    </row>
    <row r="53" spans="2:30" ht="82.5" x14ac:dyDescent="0.25">
      <c r="B53" s="288" t="s">
        <v>3</v>
      </c>
      <c r="C53" s="289" t="s">
        <v>1061</v>
      </c>
      <c r="D53" s="65" t="s">
        <v>72</v>
      </c>
      <c r="E53" s="66" t="s">
        <v>220</v>
      </c>
      <c r="F53" s="67" t="s">
        <v>185</v>
      </c>
      <c r="G53" s="66" t="s">
        <v>240</v>
      </c>
      <c r="H53" s="68">
        <f>H54/H55</f>
        <v>0.38118769702649735</v>
      </c>
      <c r="I53" s="68">
        <f>I54/I55</f>
        <v>0.40064565457480256</v>
      </c>
      <c r="J53" s="68">
        <f>J54/J55</f>
        <v>0.40860215053763438</v>
      </c>
      <c r="K53" s="68">
        <f>K54/K55</f>
        <v>0.40501762728539803</v>
      </c>
      <c r="L53" s="68">
        <f>L54/L55</f>
        <v>0.41537228137288995</v>
      </c>
      <c r="M53" s="68">
        <f t="shared" ref="M53:U53" si="43">M54/M55</f>
        <v>0.42105203100600463</v>
      </c>
      <c r="N53" s="68">
        <f t="shared" si="43"/>
        <v>0.42541591117485916</v>
      </c>
      <c r="O53" s="68">
        <f t="shared" si="43"/>
        <v>0.42976141973919935</v>
      </c>
      <c r="P53" s="68">
        <f t="shared" si="43"/>
        <v>0.43940525149457732</v>
      </c>
      <c r="Q53" s="68">
        <f t="shared" si="43"/>
        <v>0.45221187309628758</v>
      </c>
      <c r="R53" s="68">
        <f t="shared" si="43"/>
        <v>0.46557056895249405</v>
      </c>
      <c r="S53" s="68">
        <f t="shared" si="43"/>
        <v>0.47902988930973284</v>
      </c>
      <c r="T53" s="68">
        <f t="shared" si="43"/>
        <v>0.49330254804479645</v>
      </c>
      <c r="U53" s="68">
        <f t="shared" si="43"/>
        <v>0.50867759504298704</v>
      </c>
      <c r="V53" s="69" t="s">
        <v>240</v>
      </c>
      <c r="W53" s="276">
        <f>'StG 3'!AD4</f>
        <v>70000</v>
      </c>
      <c r="X53" s="276">
        <f>'StG 3'!AE4</f>
        <v>3851000</v>
      </c>
      <c r="Y53" s="276">
        <f>'StG 3'!AF4</f>
        <v>4254000</v>
      </c>
      <c r="Z53" s="276">
        <f>'StG 3'!AG4</f>
        <v>5456000</v>
      </c>
      <c r="AA53" s="276">
        <f>'StG 3'!AH4</f>
        <v>6905000</v>
      </c>
      <c r="AB53" s="276">
        <f>'StG 3'!AI4</f>
        <v>8425000</v>
      </c>
      <c r="AC53" s="276">
        <f>'StG 3'!AJ4</f>
        <v>10286000</v>
      </c>
      <c r="AD53" s="276">
        <f>SUM(W53:AC66)</f>
        <v>39247000</v>
      </c>
    </row>
    <row r="54" spans="2:30" ht="82.5" x14ac:dyDescent="0.25">
      <c r="B54" s="288"/>
      <c r="C54" s="289"/>
      <c r="D54" s="62"/>
      <c r="E54" s="61" t="s">
        <v>326</v>
      </c>
      <c r="F54" s="63" t="s">
        <v>185</v>
      </c>
      <c r="G54" s="63"/>
      <c r="H54" s="71">
        <v>447.4</v>
      </c>
      <c r="I54" s="71">
        <v>471.6</v>
      </c>
      <c r="J54" s="71">
        <v>486.4</v>
      </c>
      <c r="K54" s="71">
        <v>494</v>
      </c>
      <c r="L54" s="71">
        <v>496.86500000000001</v>
      </c>
      <c r="M54" s="71">
        <f t="shared" ref="M54:U54" si="44">L54*M5/L5</f>
        <v>506.78554019858387</v>
      </c>
      <c r="N54" s="71">
        <f>+(M54+O54)/2</f>
        <v>513.12035945106618</v>
      </c>
      <c r="O54" s="71">
        <f>M54*O5/M5</f>
        <v>519.45517870354843</v>
      </c>
      <c r="P54" s="71">
        <f t="shared" si="44"/>
        <v>532.4415581711371</v>
      </c>
      <c r="Q54" s="71">
        <f t="shared" si="44"/>
        <v>548.41480491627124</v>
      </c>
      <c r="R54" s="71">
        <f t="shared" si="44"/>
        <v>564.86724906375946</v>
      </c>
      <c r="S54" s="71">
        <f t="shared" si="44"/>
        <v>581.81326653567226</v>
      </c>
      <c r="T54" s="71">
        <f t="shared" si="44"/>
        <v>599.26766453174241</v>
      </c>
      <c r="U54" s="71">
        <f t="shared" si="44"/>
        <v>617.24569446769465</v>
      </c>
      <c r="V54" s="77" t="s">
        <v>378</v>
      </c>
      <c r="W54" s="276"/>
      <c r="X54" s="276"/>
      <c r="Y54" s="276"/>
      <c r="Z54" s="276"/>
      <c r="AA54" s="276"/>
      <c r="AB54" s="276"/>
      <c r="AC54" s="276"/>
      <c r="AD54" s="276"/>
    </row>
    <row r="55" spans="2:30" ht="132" x14ac:dyDescent="0.25">
      <c r="B55" s="288"/>
      <c r="C55" s="289"/>
      <c r="D55" s="62"/>
      <c r="E55" s="61" t="s">
        <v>327</v>
      </c>
      <c r="F55" s="63" t="s">
        <v>185</v>
      </c>
      <c r="G55" s="63"/>
      <c r="H55" s="71">
        <v>1173.7</v>
      </c>
      <c r="I55" s="71">
        <v>1177.0999999999999</v>
      </c>
      <c r="J55" s="71">
        <v>1190.4000000000001</v>
      </c>
      <c r="K55" s="71">
        <v>1219.7</v>
      </c>
      <c r="L55" s="71">
        <v>1196.192</v>
      </c>
      <c r="M55" s="71">
        <v>1203.6173747642049</v>
      </c>
      <c r="N55" s="71">
        <f>+(M55+O55)/2</f>
        <v>1206.1616549178805</v>
      </c>
      <c r="O55" s="71">
        <v>1208.705935071556</v>
      </c>
      <c r="P55" s="71">
        <v>1211.7323503988844</v>
      </c>
      <c r="Q55" s="71">
        <v>1212.7386244002921</v>
      </c>
      <c r="R55" s="71">
        <v>1213.2795471472284</v>
      </c>
      <c r="S55" s="71">
        <v>1214.5656868594297</v>
      </c>
      <c r="T55" s="71">
        <v>1214.807559593881</v>
      </c>
      <c r="U55" s="71">
        <v>1213.4320451356477</v>
      </c>
      <c r="V55" s="73" t="s">
        <v>373</v>
      </c>
      <c r="W55" s="276"/>
      <c r="X55" s="276"/>
      <c r="Y55" s="276"/>
      <c r="Z55" s="276"/>
      <c r="AA55" s="276"/>
      <c r="AB55" s="276"/>
      <c r="AC55" s="276"/>
      <c r="AD55" s="276"/>
    </row>
    <row r="56" spans="2:30" ht="82.5" x14ac:dyDescent="0.25">
      <c r="B56" s="288"/>
      <c r="C56" s="289"/>
      <c r="D56" s="65" t="s">
        <v>156</v>
      </c>
      <c r="E56" s="66" t="s">
        <v>221</v>
      </c>
      <c r="F56" s="66" t="s">
        <v>206</v>
      </c>
      <c r="G56" s="66" t="s">
        <v>241</v>
      </c>
      <c r="H56" s="68">
        <f>SUM(H59:H60)/SUM(H57:H58)</f>
        <v>0.70670689408370668</v>
      </c>
      <c r="I56" s="66"/>
      <c r="J56" s="66"/>
      <c r="K56" s="68">
        <f>SUM(K59:K60)/SUM(K57:K58)</f>
        <v>0.37522883295194509</v>
      </c>
      <c r="L56" s="68">
        <f>SUM(L59:L60)/SUM(L57:L58)</f>
        <v>0.33464181412128507</v>
      </c>
      <c r="M56" s="68">
        <f t="shared" ref="M56:U56" si="45">SUM(M59:M60)/SUM(M57:M58)</f>
        <v>0.29543490720380317</v>
      </c>
      <c r="N56" s="68">
        <f t="shared" si="45"/>
        <v>0.27758938031841257</v>
      </c>
      <c r="O56" s="68">
        <f t="shared" si="45"/>
        <v>0.26082149715865555</v>
      </c>
      <c r="P56" s="68">
        <f t="shared" si="45"/>
        <v>0.22956986035923871</v>
      </c>
      <c r="Q56" s="68">
        <f t="shared" si="45"/>
        <v>0.218507898021881</v>
      </c>
      <c r="R56" s="68">
        <f t="shared" si="45"/>
        <v>0.20797896301904209</v>
      </c>
      <c r="S56" s="68">
        <f t="shared" si="45"/>
        <v>0.19795737110676223</v>
      </c>
      <c r="T56" s="68">
        <f t="shared" si="45"/>
        <v>0.18841867565188561</v>
      </c>
      <c r="U56" s="68">
        <f t="shared" si="45"/>
        <v>0.17933960799703574</v>
      </c>
      <c r="V56" s="83"/>
      <c r="W56" s="276"/>
      <c r="X56" s="276"/>
      <c r="Y56" s="276"/>
      <c r="Z56" s="276"/>
      <c r="AA56" s="276"/>
      <c r="AB56" s="276"/>
      <c r="AC56" s="276"/>
      <c r="AD56" s="276"/>
    </row>
    <row r="57" spans="2:30" ht="33" x14ac:dyDescent="0.25">
      <c r="B57" s="288"/>
      <c r="C57" s="289"/>
      <c r="D57" s="62"/>
      <c r="E57" s="61" t="s">
        <v>197</v>
      </c>
      <c r="F57" s="61" t="s">
        <v>206</v>
      </c>
      <c r="G57" s="63"/>
      <c r="H57" s="71">
        <v>45.399000000000001</v>
      </c>
      <c r="I57" s="71"/>
      <c r="J57" s="71"/>
      <c r="K57" s="71">
        <v>49.018000000000001</v>
      </c>
      <c r="L57" s="71">
        <v>56.445999999999998</v>
      </c>
      <c r="M57" s="71">
        <f>L57*(1+_xlfn.RRI(4,$H$57,$L$57))</f>
        <v>59.604615750681823</v>
      </c>
      <c r="N57" s="71">
        <f t="shared" ref="N57:N66" si="46">+(M57+O57)/2</f>
        <v>61.272298829406992</v>
      </c>
      <c r="O57" s="71">
        <f>M57*(1+_xlfn.RRI(4,$H$57,$L$57))</f>
        <v>62.939981908132161</v>
      </c>
      <c r="P57" s="71">
        <f>O57*(1+_xlfn.RRI(4,$H$57,$L$57)*1.025)</f>
        <v>66.550039284345218</v>
      </c>
      <c r="Q57" s="71">
        <f>P57*(1.025)</f>
        <v>68.213790266453842</v>
      </c>
      <c r="R57" s="71">
        <f t="shared" ref="R57:U57" si="47">Q57*(1.025)</f>
        <v>69.919135023115174</v>
      </c>
      <c r="S57" s="71">
        <f t="shared" si="47"/>
        <v>71.667113398693047</v>
      </c>
      <c r="T57" s="71">
        <f t="shared" si="47"/>
        <v>73.458791233660364</v>
      </c>
      <c r="U57" s="71">
        <f t="shared" si="47"/>
        <v>75.295261014501861</v>
      </c>
      <c r="V57" s="286" t="s">
        <v>379</v>
      </c>
      <c r="W57" s="276"/>
      <c r="X57" s="276"/>
      <c r="Y57" s="276"/>
      <c r="Z57" s="276"/>
      <c r="AA57" s="276"/>
      <c r="AB57" s="276"/>
      <c r="AC57" s="276"/>
      <c r="AD57" s="276"/>
    </row>
    <row r="58" spans="2:30" ht="63.75" customHeight="1" x14ac:dyDescent="0.25">
      <c r="B58" s="288"/>
      <c r="C58" s="289"/>
      <c r="D58" s="62"/>
      <c r="E58" s="61" t="s">
        <v>198</v>
      </c>
      <c r="F58" s="61" t="s">
        <v>206</v>
      </c>
      <c r="G58" s="63"/>
      <c r="H58" s="71">
        <v>45.417999999999999</v>
      </c>
      <c r="I58" s="71"/>
      <c r="J58" s="91"/>
      <c r="K58" s="71">
        <v>55.862000000000002</v>
      </c>
      <c r="L58" s="71">
        <v>59.973999999999997</v>
      </c>
      <c r="M58" s="71">
        <f>L58*(1+_xlfn.RRI(4,$H$58,$L$58))</f>
        <v>64.290494713563859</v>
      </c>
      <c r="N58" s="71">
        <f t="shared" si="46"/>
        <v>66.604077103962226</v>
      </c>
      <c r="O58" s="71">
        <f>M58*(1+_xlfn.RRI(4,$H$58,$L$58))</f>
        <v>68.917659494360606</v>
      </c>
      <c r="P58" s="71">
        <f>O58*(1+_xlfn.RRI(4,$H$58,$L$58)*1.025)</f>
        <v>74.001858992485907</v>
      </c>
      <c r="Q58" s="71">
        <f>P58*(1.025)</f>
        <v>75.851905467298053</v>
      </c>
      <c r="R58" s="71">
        <f t="shared" ref="R58:U58" si="48">Q58*(1.025)</f>
        <v>77.748203103980501</v>
      </c>
      <c r="S58" s="71">
        <f t="shared" si="48"/>
        <v>79.691908181580004</v>
      </c>
      <c r="T58" s="71">
        <f t="shared" si="48"/>
        <v>81.6842058861195</v>
      </c>
      <c r="U58" s="71">
        <f t="shared" si="48"/>
        <v>83.726311033272481</v>
      </c>
      <c r="V58" s="286"/>
      <c r="W58" s="276"/>
      <c r="X58" s="276"/>
      <c r="Y58" s="276"/>
      <c r="Z58" s="276"/>
      <c r="AA58" s="276"/>
      <c r="AB58" s="276"/>
      <c r="AC58" s="276"/>
      <c r="AD58" s="276"/>
    </row>
    <row r="59" spans="2:30" ht="33" x14ac:dyDescent="0.25">
      <c r="B59" s="288"/>
      <c r="C59" s="289"/>
      <c r="D59" s="62"/>
      <c r="E59" s="61" t="s">
        <v>199</v>
      </c>
      <c r="F59" s="61" t="s">
        <v>206</v>
      </c>
      <c r="G59" s="63"/>
      <c r="H59" s="71">
        <v>32.442999999999998</v>
      </c>
      <c r="I59" s="71"/>
      <c r="J59" s="92"/>
      <c r="K59" s="71">
        <v>19.654</v>
      </c>
      <c r="L59" s="71">
        <v>18.353999999999999</v>
      </c>
      <c r="M59" s="71">
        <f>L59*L57/M57</f>
        <v>17.3813700659273</v>
      </c>
      <c r="N59" s="71">
        <f t="shared" si="46"/>
        <v>16.920826292871944</v>
      </c>
      <c r="O59" s="71">
        <f>M59*M57/O57</f>
        <v>16.460282519816584</v>
      </c>
      <c r="P59" s="71">
        <f t="shared" ref="P59:T59" si="49">O59*O57/P57</f>
        <v>15.567382005192952</v>
      </c>
      <c r="Q59" s="71">
        <f t="shared" si="49"/>
        <v>15.187689761163858</v>
      </c>
      <c r="R59" s="71">
        <f t="shared" si="49"/>
        <v>14.817258303574498</v>
      </c>
      <c r="S59" s="71">
        <f t="shared" si="49"/>
        <v>14.455861759584877</v>
      </c>
      <c r="T59" s="71">
        <f t="shared" si="49"/>
        <v>14.103279765448663</v>
      </c>
      <c r="U59" s="71">
        <f>T59*T57/U57</f>
        <v>13.759297332145039</v>
      </c>
      <c r="V59" s="277" t="s">
        <v>358</v>
      </c>
      <c r="W59" s="276"/>
      <c r="X59" s="276"/>
      <c r="Y59" s="276"/>
      <c r="Z59" s="276"/>
      <c r="AA59" s="276"/>
      <c r="AB59" s="276"/>
      <c r="AC59" s="276"/>
      <c r="AD59" s="276"/>
    </row>
    <row r="60" spans="2:30" ht="33" x14ac:dyDescent="0.25">
      <c r="B60" s="288"/>
      <c r="C60" s="289"/>
      <c r="D60" s="62"/>
      <c r="E60" s="61" t="s">
        <v>200</v>
      </c>
      <c r="F60" s="61" t="s">
        <v>206</v>
      </c>
      <c r="G60" s="63"/>
      <c r="H60" s="71">
        <v>31.738</v>
      </c>
      <c r="I60" s="71"/>
      <c r="J60" s="71"/>
      <c r="K60" s="71">
        <v>19.7</v>
      </c>
      <c r="L60" s="71">
        <v>20.605</v>
      </c>
      <c r="M60" s="71">
        <f>L60*L58/M58</f>
        <v>19.221570397082061</v>
      </c>
      <c r="N60" s="71">
        <f t="shared" si="46"/>
        <v>18.576297659836385</v>
      </c>
      <c r="O60" s="71">
        <f>M60*M58/O58</f>
        <v>17.931024922590705</v>
      </c>
      <c r="P60" s="71">
        <f t="shared" ref="P60:U60" si="50">O60*O58/P58</f>
        <v>16.699097655445094</v>
      </c>
      <c r="Q60" s="71">
        <f t="shared" si="50"/>
        <v>16.291802590678142</v>
      </c>
      <c r="R60" s="71">
        <f t="shared" si="50"/>
        <v>15.894441551881114</v>
      </c>
      <c r="S60" s="71">
        <f t="shared" si="50"/>
        <v>15.506772245737674</v>
      </c>
      <c r="T60" s="71">
        <f t="shared" si="50"/>
        <v>15.128558288524561</v>
      </c>
      <c r="U60" s="71">
        <f t="shared" si="50"/>
        <v>14.759569061975183</v>
      </c>
      <c r="V60" s="277"/>
      <c r="W60" s="276"/>
      <c r="X60" s="276"/>
      <c r="Y60" s="276"/>
      <c r="Z60" s="276"/>
      <c r="AA60" s="276"/>
      <c r="AB60" s="276"/>
      <c r="AC60" s="276"/>
      <c r="AD60" s="276"/>
    </row>
    <row r="61" spans="2:30" ht="49.5" x14ac:dyDescent="0.25">
      <c r="B61" s="288"/>
      <c r="C61" s="289"/>
      <c r="D61" s="93" t="s">
        <v>76</v>
      </c>
      <c r="E61" s="66" t="s">
        <v>332</v>
      </c>
      <c r="F61" s="66" t="s">
        <v>181</v>
      </c>
      <c r="G61" s="66" t="s">
        <v>335</v>
      </c>
      <c r="H61" s="68">
        <f t="shared" ref="H61:M61" si="51">H63/H62</f>
        <v>0.14444444444444446</v>
      </c>
      <c r="I61" s="68">
        <f t="shared" si="51"/>
        <v>0.14556962025316453</v>
      </c>
      <c r="J61" s="68">
        <f t="shared" si="51"/>
        <v>0.24087591240875914</v>
      </c>
      <c r="K61" s="68">
        <f t="shared" si="51"/>
        <v>0.21088435374149661</v>
      </c>
      <c r="L61" s="68">
        <f t="shared" si="51"/>
        <v>0.23923544843145952</v>
      </c>
      <c r="M61" s="68">
        <f t="shared" si="51"/>
        <v>0.26093999696551101</v>
      </c>
      <c r="N61" s="68">
        <f t="shared" si="46"/>
        <v>0.27308089118237855</v>
      </c>
      <c r="O61" s="68">
        <f t="shared" ref="O61:U61" si="52">O63/O62</f>
        <v>0.28522178539924603</v>
      </c>
      <c r="P61" s="68">
        <f t="shared" si="52"/>
        <v>0.30899026751584979</v>
      </c>
      <c r="Q61" s="68">
        <f t="shared" si="52"/>
        <v>0.3318784354799868</v>
      </c>
      <c r="R61" s="68">
        <f t="shared" si="52"/>
        <v>0.35338907481665255</v>
      </c>
      <c r="S61" s="68">
        <f t="shared" si="52"/>
        <v>0.3730218011953555</v>
      </c>
      <c r="T61" s="68">
        <f t="shared" si="52"/>
        <v>0.38683742346185013</v>
      </c>
      <c r="U61" s="68">
        <f t="shared" si="52"/>
        <v>0.39400107945188434</v>
      </c>
      <c r="V61" s="80"/>
      <c r="W61" s="276"/>
      <c r="X61" s="276"/>
      <c r="Y61" s="276"/>
      <c r="Z61" s="276"/>
      <c r="AA61" s="276"/>
      <c r="AB61" s="276"/>
      <c r="AC61" s="276"/>
      <c r="AD61" s="276"/>
    </row>
    <row r="62" spans="2:30" ht="49.5" x14ac:dyDescent="0.25">
      <c r="B62" s="288"/>
      <c r="C62" s="289"/>
      <c r="D62" s="62"/>
      <c r="E62" s="61" t="s">
        <v>333</v>
      </c>
      <c r="F62" s="61" t="s">
        <v>181</v>
      </c>
      <c r="G62" s="61"/>
      <c r="H62" s="94">
        <v>9</v>
      </c>
      <c r="I62" s="94">
        <v>15.8</v>
      </c>
      <c r="J62" s="94">
        <v>13.7</v>
      </c>
      <c r="K62" s="94">
        <v>14.7</v>
      </c>
      <c r="L62" s="94">
        <f>K62*(1+_xlfn.RRI(3,$H$62,$K$62))</f>
        <v>17.311802008464333</v>
      </c>
      <c r="M62" s="94">
        <f>L62*(1.08)</f>
        <v>18.69674616914148</v>
      </c>
      <c r="N62" s="94">
        <f t="shared" si="46"/>
        <v>19.44461601590714</v>
      </c>
      <c r="O62" s="94">
        <f>M62*(1.08)</f>
        <v>20.1924858626728</v>
      </c>
      <c r="P62" s="94">
        <f t="shared" ref="P62:U62" si="53">O62*(1.08)</f>
        <v>21.807884731686627</v>
      </c>
      <c r="Q62" s="94">
        <f t="shared" si="53"/>
        <v>23.552515510221561</v>
      </c>
      <c r="R62" s="94">
        <f t="shared" si="53"/>
        <v>25.436716751039288</v>
      </c>
      <c r="S62" s="94">
        <f t="shared" si="53"/>
        <v>27.471654091122431</v>
      </c>
      <c r="T62" s="94">
        <f>S62*(1.08)</f>
        <v>29.669386418412227</v>
      </c>
      <c r="U62" s="94">
        <f t="shared" si="53"/>
        <v>32.042937331885206</v>
      </c>
      <c r="V62" s="76" t="s">
        <v>1113</v>
      </c>
      <c r="W62" s="276"/>
      <c r="X62" s="276"/>
      <c r="Y62" s="276"/>
      <c r="Z62" s="276"/>
      <c r="AA62" s="276"/>
      <c r="AB62" s="276"/>
      <c r="AC62" s="276"/>
      <c r="AD62" s="276"/>
    </row>
    <row r="63" spans="2:30" ht="181.5" x14ac:dyDescent="0.25">
      <c r="B63" s="288"/>
      <c r="C63" s="289"/>
      <c r="D63" s="62"/>
      <c r="E63" s="61" t="s">
        <v>334</v>
      </c>
      <c r="F63" s="61" t="s">
        <v>181</v>
      </c>
      <c r="G63" s="61"/>
      <c r="H63" s="94">
        <v>1.3</v>
      </c>
      <c r="I63" s="94">
        <v>2.2999999999999998</v>
      </c>
      <c r="J63" s="94">
        <v>3.3</v>
      </c>
      <c r="K63" s="94">
        <v>3.1</v>
      </c>
      <c r="L63" s="94">
        <f>K63*(1+_xlfn.RRI(3,$H$63,$K$63))</f>
        <v>4.1415967166516063</v>
      </c>
      <c r="M63" s="94">
        <f>L63*(1+AVERAGE(_xlfn.RRI(3,$H$63,$K$63),(M5/L5-1)))</f>
        <v>4.8787288886407074</v>
      </c>
      <c r="N63" s="94">
        <f t="shared" si="46"/>
        <v>5.3190328790206394</v>
      </c>
      <c r="O63" s="94">
        <f>M63*(1+AVERAGE(_xlfn.RRI(3,$H$63,$K$63),(O5/M5-1)))</f>
        <v>5.7593368694005704</v>
      </c>
      <c r="P63" s="94">
        <f>O63+(O63*17%)</f>
        <v>6.7384241371986677</v>
      </c>
      <c r="Q63" s="94">
        <f>P63+(P63*16%)</f>
        <v>7.8165719991504545</v>
      </c>
      <c r="R63" s="94">
        <f>Q63+(Q63*15%)</f>
        <v>8.9890577990230227</v>
      </c>
      <c r="S63" s="94">
        <f>R63+(R63*14%)</f>
        <v>10.247525890886246</v>
      </c>
      <c r="T63" s="94">
        <f>S63+(S63*12%)</f>
        <v>11.477228997792595</v>
      </c>
      <c r="U63" s="94">
        <f>T63+(T63*10%)</f>
        <v>12.624951897571854</v>
      </c>
      <c r="V63" s="76" t="s">
        <v>1112</v>
      </c>
      <c r="W63" s="276"/>
      <c r="X63" s="276"/>
      <c r="Y63" s="276"/>
      <c r="Z63" s="276"/>
      <c r="AA63" s="276"/>
      <c r="AB63" s="276"/>
      <c r="AC63" s="276"/>
      <c r="AD63" s="276"/>
    </row>
    <row r="64" spans="2:30" ht="82.5" x14ac:dyDescent="0.25">
      <c r="B64" s="288"/>
      <c r="C64" s="289"/>
      <c r="D64" s="65" t="s">
        <v>163</v>
      </c>
      <c r="E64" s="66" t="s">
        <v>242</v>
      </c>
      <c r="F64" s="66" t="s">
        <v>181</v>
      </c>
      <c r="G64" s="66" t="s">
        <v>313</v>
      </c>
      <c r="H64" s="68">
        <f t="shared" ref="H64:I64" si="54">H65/H66-1</f>
        <v>0.54574120925457414</v>
      </c>
      <c r="I64" s="68">
        <f t="shared" si="54"/>
        <v>0.53245912478133306</v>
      </c>
      <c r="J64" s="68">
        <f>J65/J66-1</f>
        <v>0.5403244048807101</v>
      </c>
      <c r="K64" s="68">
        <f>K65/K66-1</f>
        <v>0.54989747306732095</v>
      </c>
      <c r="L64" s="68">
        <f t="shared" ref="L64:U64" si="55">L65/L66-1</f>
        <v>0.64428903392223802</v>
      </c>
      <c r="M64" s="68">
        <f>M65/M66-1</f>
        <v>0.61348348171042932</v>
      </c>
      <c r="N64" s="68">
        <f t="shared" si="46"/>
        <v>0.59582917801654156</v>
      </c>
      <c r="O64" s="68">
        <f t="shared" si="55"/>
        <v>0.5781748743226538</v>
      </c>
      <c r="P64" s="68">
        <f>P65/P66-1</f>
        <v>0.54456457771335631</v>
      </c>
      <c r="Q64" s="68">
        <f t="shared" si="55"/>
        <v>0.5229610462847174</v>
      </c>
      <c r="R64" s="68">
        <f t="shared" si="55"/>
        <v>0.50287825909216166</v>
      </c>
      <c r="S64" s="68">
        <f t="shared" si="55"/>
        <v>0.48426476098559301</v>
      </c>
      <c r="T64" s="68">
        <f t="shared" si="55"/>
        <v>0.46826669415094146</v>
      </c>
      <c r="U64" s="68">
        <f t="shared" si="55"/>
        <v>0.45480794389057833</v>
      </c>
      <c r="V64" s="80"/>
      <c r="W64" s="276"/>
      <c r="X64" s="276"/>
      <c r="Y64" s="276"/>
      <c r="Z64" s="276"/>
      <c r="AA64" s="276"/>
      <c r="AB64" s="276"/>
      <c r="AC64" s="276"/>
      <c r="AD64" s="276"/>
    </row>
    <row r="65" spans="2:30" ht="66" x14ac:dyDescent="0.25">
      <c r="B65" s="288"/>
      <c r="C65" s="289"/>
      <c r="D65" s="62"/>
      <c r="E65" s="61" t="s">
        <v>949</v>
      </c>
      <c r="F65" s="61" t="s">
        <v>181</v>
      </c>
      <c r="G65" s="63"/>
      <c r="H65" s="87">
        <v>210785</v>
      </c>
      <c r="I65" s="87">
        <v>222510</v>
      </c>
      <c r="J65" s="87">
        <v>231520</v>
      </c>
      <c r="K65" s="87">
        <v>250186</v>
      </c>
      <c r="L65" s="94">
        <v>295778</v>
      </c>
      <c r="M65" s="94">
        <f>L65*(1+_xlfn.RRI(4,$H$65,$L$65))</f>
        <v>321919.59262187488</v>
      </c>
      <c r="N65" s="94">
        <f t="shared" si="46"/>
        <v>336145.61830215028</v>
      </c>
      <c r="O65" s="94">
        <f>M65*(1+_xlfn.RRI(4,$H$65,$L$65))</f>
        <v>350371.64398242562</v>
      </c>
      <c r="P65" s="94">
        <f t="shared" ref="P65:U65" si="56">O65*(1+_xlfn.RRI(4,$H$65,$L$65))</f>
        <v>381338.35815063678</v>
      </c>
      <c r="Q65" s="94">
        <f t="shared" si="56"/>
        <v>415041.9872571578</v>
      </c>
      <c r="R65" s="94">
        <f t="shared" si="56"/>
        <v>451724.42662671878</v>
      </c>
      <c r="S65" s="94">
        <f t="shared" si="56"/>
        <v>491648.95089230209</v>
      </c>
      <c r="T65" s="94">
        <f t="shared" si="56"/>
        <v>535102.10355138674</v>
      </c>
      <c r="U65" s="94">
        <f t="shared" si="56"/>
        <v>582395.7535258563</v>
      </c>
      <c r="V65" s="76" t="s">
        <v>380</v>
      </c>
      <c r="W65" s="276"/>
      <c r="X65" s="276"/>
      <c r="Y65" s="276"/>
      <c r="Z65" s="276"/>
      <c r="AA65" s="276"/>
      <c r="AB65" s="276"/>
      <c r="AC65" s="276"/>
      <c r="AD65" s="276"/>
    </row>
    <row r="66" spans="2:30" ht="181.5" x14ac:dyDescent="0.25">
      <c r="B66" s="288"/>
      <c r="C66" s="289"/>
      <c r="D66" s="62"/>
      <c r="E66" s="61" t="s">
        <v>950</v>
      </c>
      <c r="F66" s="61" t="s">
        <v>181</v>
      </c>
      <c r="G66" s="63"/>
      <c r="H66" s="87">
        <v>136365</v>
      </c>
      <c r="I66" s="87">
        <v>145198</v>
      </c>
      <c r="J66" s="87">
        <v>150306</v>
      </c>
      <c r="K66" s="87">
        <v>161421</v>
      </c>
      <c r="L66" s="94">
        <v>179882</v>
      </c>
      <c r="M66" s="94">
        <f>L66*(1+(_xlfn.RRI(4,$H$66,$L$66))*M5/L5*M42/L42*M54/L54*M57/L57*M58/L58*M63/L63)</f>
        <v>199518.36896440538</v>
      </c>
      <c r="N66" s="94">
        <f t="shared" si="46"/>
        <v>210764.51401921097</v>
      </c>
      <c r="O66" s="94">
        <f>M66*(1+(_xlfn.RRI(4,$H$66,$L$66))*O5/M5*O42/M42*O54/M54*O57/M57*O58/M58*O63/M63)</f>
        <v>222010.65907401656</v>
      </c>
      <c r="P66" s="94">
        <f t="shared" ref="P66:U66" si="57">O66*(1+(_xlfn.RRI(4,$H$66,$L$66))*P5/O5*P42/O42*P54/O54*P57/O57*P58/O58*P63/O63)</f>
        <v>246890.52413411386</v>
      </c>
      <c r="Q66" s="94">
        <f t="shared" si="57"/>
        <v>272523.04861615336</v>
      </c>
      <c r="R66" s="94">
        <f t="shared" si="57"/>
        <v>300572.86669353402</v>
      </c>
      <c r="S66" s="94">
        <f t="shared" si="57"/>
        <v>331240.7353562942</v>
      </c>
      <c r="T66" s="94">
        <f t="shared" si="57"/>
        <v>364444.76039880596</v>
      </c>
      <c r="U66" s="94">
        <f t="shared" si="57"/>
        <v>400324.83735850465</v>
      </c>
      <c r="V66" s="76" t="s">
        <v>381</v>
      </c>
      <c r="W66" s="276"/>
      <c r="X66" s="276"/>
      <c r="Y66" s="276"/>
      <c r="Z66" s="276"/>
      <c r="AA66" s="276"/>
      <c r="AB66" s="276"/>
      <c r="AC66" s="276"/>
      <c r="AD66" s="276"/>
    </row>
    <row r="67" spans="2:30" ht="82.5" x14ac:dyDescent="0.25">
      <c r="B67" s="288" t="s">
        <v>4</v>
      </c>
      <c r="C67" s="289" t="s">
        <v>993</v>
      </c>
      <c r="D67" s="65" t="s">
        <v>73</v>
      </c>
      <c r="E67" s="66" t="s">
        <v>330</v>
      </c>
      <c r="F67" s="66"/>
      <c r="G67" s="66" t="s">
        <v>312</v>
      </c>
      <c r="H67" s="69"/>
      <c r="I67" s="69"/>
      <c r="J67" s="69"/>
      <c r="K67" s="69"/>
      <c r="L67" s="69"/>
      <c r="M67" s="285" t="s">
        <v>359</v>
      </c>
      <c r="N67" s="285"/>
      <c r="O67" s="285"/>
      <c r="P67" s="285"/>
      <c r="Q67" s="285"/>
      <c r="R67" s="285"/>
      <c r="S67" s="285"/>
      <c r="T67" s="285"/>
      <c r="U67" s="285"/>
      <c r="V67" s="80"/>
      <c r="W67" s="276">
        <f>'StG 4'!AD4</f>
        <v>30000</v>
      </c>
      <c r="X67" s="276">
        <f>'StG 4'!AE4</f>
        <v>1548000</v>
      </c>
      <c r="Y67" s="276">
        <f>'StG 4'!AF4</f>
        <v>1403000</v>
      </c>
      <c r="Z67" s="276">
        <f>'StG 4'!AG4</f>
        <v>9990000</v>
      </c>
      <c r="AA67" s="276">
        <f>'StG 4'!AH4</f>
        <v>9720000</v>
      </c>
      <c r="AB67" s="276">
        <f>'StG 4'!AI4</f>
        <v>9450000</v>
      </c>
      <c r="AC67" s="276">
        <f>'StG 4'!AJ4</f>
        <v>9180000</v>
      </c>
      <c r="AD67" s="276">
        <f>SUM(W67:AC74)</f>
        <v>41321000</v>
      </c>
    </row>
    <row r="68" spans="2:30" ht="99" x14ac:dyDescent="0.25">
      <c r="B68" s="288"/>
      <c r="C68" s="289"/>
      <c r="D68" s="65" t="s">
        <v>157</v>
      </c>
      <c r="E68" s="66" t="s">
        <v>222</v>
      </c>
      <c r="F68" s="66" t="s">
        <v>235</v>
      </c>
      <c r="G68" s="66" t="s">
        <v>244</v>
      </c>
      <c r="H68" s="68">
        <f t="shared" ref="H68:O68" si="58">H69/H70</f>
        <v>9.6871514585710625E-2</v>
      </c>
      <c r="I68" s="68">
        <f t="shared" si="58"/>
        <v>7.1175406390166326E-2</v>
      </c>
      <c r="J68" s="68">
        <f t="shared" si="58"/>
        <v>7.4053785492370253E-2</v>
      </c>
      <c r="K68" s="68">
        <f t="shared" si="58"/>
        <v>7.0566327562319398E-2</v>
      </c>
      <c r="L68" s="68">
        <f t="shared" si="58"/>
        <v>5.736406679135285E-2</v>
      </c>
      <c r="M68" s="68">
        <f t="shared" si="58"/>
        <v>6.88034080024678E-2</v>
      </c>
      <c r="N68" s="68">
        <f t="shared" ref="N68:N74" si="59">+(M68+O68)/2</f>
        <v>5.3338613013820743E-2</v>
      </c>
      <c r="O68" s="68">
        <f t="shared" si="58"/>
        <v>3.7873818025173686E-2</v>
      </c>
      <c r="P68" s="68">
        <f t="shared" ref="P68:U68" si="60">P69/P70</f>
        <v>3.2899936487754917E-2</v>
      </c>
      <c r="Q68" s="68">
        <f t="shared" si="60"/>
        <v>2.8440529100961703E-2</v>
      </c>
      <c r="R68" s="68">
        <f t="shared" si="60"/>
        <v>1.4362538191441268E-2</v>
      </c>
      <c r="S68" s="68">
        <f t="shared" si="60"/>
        <v>1.2415774284226706E-2</v>
      </c>
      <c r="T68" s="68">
        <f t="shared" si="60"/>
        <v>1.0732883632554934E-2</v>
      </c>
      <c r="U68" s="68">
        <f t="shared" si="60"/>
        <v>9.2780996523359645E-3</v>
      </c>
      <c r="V68" s="80"/>
      <c r="W68" s="276"/>
      <c r="X68" s="276"/>
      <c r="Y68" s="276"/>
      <c r="Z68" s="276"/>
      <c r="AA68" s="276"/>
      <c r="AB68" s="276"/>
      <c r="AC68" s="276"/>
      <c r="AD68" s="276"/>
    </row>
    <row r="69" spans="2:30" ht="231" x14ac:dyDescent="0.25">
      <c r="B69" s="288"/>
      <c r="C69" s="289"/>
      <c r="D69" s="62"/>
      <c r="E69" s="61" t="s">
        <v>201</v>
      </c>
      <c r="F69" s="61" t="s">
        <v>207</v>
      </c>
      <c r="G69" s="63"/>
      <c r="H69" s="71">
        <v>34.542958089999999</v>
      </c>
      <c r="I69" s="71">
        <v>31.37205505</v>
      </c>
      <c r="J69" s="71">
        <v>30.474206509999998</v>
      </c>
      <c r="K69" s="71">
        <v>30.081</v>
      </c>
      <c r="L69" s="71">
        <v>27.236000000000001</v>
      </c>
      <c r="M69" s="94">
        <v>33.973999999999997</v>
      </c>
      <c r="N69" s="94">
        <f t="shared" si="59"/>
        <v>32.686999999999998</v>
      </c>
      <c r="O69" s="94">
        <v>31.4</v>
      </c>
      <c r="P69" s="94">
        <f>O69*(1+_xlfn.RRI(6,$H$69,$M$69))</f>
        <v>31.313204012680476</v>
      </c>
      <c r="Q69" s="94">
        <f>P69*(1+_xlfn.RRI(6,$H$69,$M$69))</f>
        <v>31.226647947125752</v>
      </c>
      <c r="R69" s="94">
        <f>Q69*42400*(1+_xlfn.RRI(4,$H$73,$L$73))^4/Q73</f>
        <v>18.191735764821448</v>
      </c>
      <c r="S69" s="94">
        <f>R69*(1+_xlfn.RRI(6,$H$69,$M$69))</f>
        <v>18.141450106644264</v>
      </c>
      <c r="T69" s="94">
        <f t="shared" ref="T69:U69" si="61">S69*(1+_xlfn.RRI(6,$H$69,$M$69))</f>
        <v>18.091303448255282</v>
      </c>
      <c r="U69" s="94">
        <f t="shared" si="61"/>
        <v>18.041295405430809</v>
      </c>
      <c r="V69" s="76" t="s">
        <v>360</v>
      </c>
      <c r="W69" s="276"/>
      <c r="X69" s="276"/>
      <c r="Y69" s="276"/>
      <c r="Z69" s="276"/>
      <c r="AA69" s="276"/>
      <c r="AB69" s="276"/>
      <c r="AC69" s="276"/>
      <c r="AD69" s="276"/>
    </row>
    <row r="70" spans="2:30" ht="49.5" x14ac:dyDescent="0.25">
      <c r="B70" s="288"/>
      <c r="C70" s="289"/>
      <c r="D70" s="62"/>
      <c r="E70" s="61" t="s">
        <v>202</v>
      </c>
      <c r="F70" s="61" t="s">
        <v>186</v>
      </c>
      <c r="G70" s="63"/>
      <c r="H70" s="71">
        <v>356.58530000000002</v>
      </c>
      <c r="I70" s="71">
        <v>440.77100000000002</v>
      </c>
      <c r="J70" s="71">
        <v>411.5145</v>
      </c>
      <c r="K70" s="71">
        <v>426.27980000000002</v>
      </c>
      <c r="L70" s="96">
        <v>474.79199999999997</v>
      </c>
      <c r="M70" s="94">
        <f>L70*1.04</f>
        <v>493.78368</v>
      </c>
      <c r="N70" s="94">
        <f t="shared" si="59"/>
        <v>661.42622862605936</v>
      </c>
      <c r="O70" s="94">
        <f t="shared" ref="O70:U70" si="62">O5*O43*12*0.2/1000000</f>
        <v>829.06877725211871</v>
      </c>
      <c r="P70" s="94">
        <f t="shared" si="62"/>
        <v>951.77095628543213</v>
      </c>
      <c r="Q70" s="94">
        <f t="shared" si="62"/>
        <v>1097.9629751708746</v>
      </c>
      <c r="R70" s="94">
        <f t="shared" si="62"/>
        <v>1266.6100881571215</v>
      </c>
      <c r="S70" s="94">
        <f t="shared" si="62"/>
        <v>1461.1613976980552</v>
      </c>
      <c r="T70" s="94">
        <f t="shared" si="62"/>
        <v>1685.5957883844769</v>
      </c>
      <c r="U70" s="94">
        <f t="shared" si="62"/>
        <v>1944.5033014803325</v>
      </c>
      <c r="V70" s="76" t="s">
        <v>383</v>
      </c>
      <c r="W70" s="276"/>
      <c r="X70" s="276"/>
      <c r="Y70" s="276"/>
      <c r="Z70" s="276"/>
      <c r="AA70" s="276"/>
      <c r="AB70" s="276"/>
      <c r="AC70" s="276"/>
      <c r="AD70" s="276"/>
    </row>
    <row r="71" spans="2:30" ht="66" x14ac:dyDescent="0.25">
      <c r="B71" s="288"/>
      <c r="C71" s="289"/>
      <c r="D71" s="95" t="s">
        <v>167</v>
      </c>
      <c r="E71" s="69" t="s">
        <v>1108</v>
      </c>
      <c r="F71" s="69" t="s">
        <v>236</v>
      </c>
      <c r="G71" s="69" t="s">
        <v>1109</v>
      </c>
      <c r="H71" s="80">
        <f>H72/H73</f>
        <v>0</v>
      </c>
      <c r="I71" s="80">
        <f>I72/I73</f>
        <v>1.0615218627098391E-2</v>
      </c>
      <c r="J71" s="80">
        <f>J72/J73</f>
        <v>6.5342183671356427E-3</v>
      </c>
      <c r="K71" s="80">
        <f>K72/K73</f>
        <v>0</v>
      </c>
      <c r="L71" s="80">
        <f>L72/L73</f>
        <v>0</v>
      </c>
      <c r="M71" s="80">
        <f t="shared" ref="M71:U71" si="63">M72/M73</f>
        <v>0</v>
      </c>
      <c r="N71" s="80">
        <f t="shared" si="59"/>
        <v>0</v>
      </c>
      <c r="O71" s="80">
        <f t="shared" si="63"/>
        <v>0</v>
      </c>
      <c r="P71" s="80">
        <f t="shared" si="63"/>
        <v>0</v>
      </c>
      <c r="Q71" s="80">
        <f t="shared" si="63"/>
        <v>0</v>
      </c>
      <c r="R71" s="80">
        <f t="shared" si="63"/>
        <v>0.46443514644351463</v>
      </c>
      <c r="S71" s="80">
        <f t="shared" si="63"/>
        <v>0.48</v>
      </c>
      <c r="T71" s="80">
        <f t="shared" si="63"/>
        <v>0.49528301886792453</v>
      </c>
      <c r="U71" s="80">
        <f t="shared" si="63"/>
        <v>0.51</v>
      </c>
      <c r="V71" s="80"/>
      <c r="W71" s="276"/>
      <c r="X71" s="276"/>
      <c r="Y71" s="276"/>
      <c r="Z71" s="276"/>
      <c r="AA71" s="276"/>
      <c r="AB71" s="276"/>
      <c r="AC71" s="276"/>
      <c r="AD71" s="276"/>
    </row>
    <row r="72" spans="2:30" ht="165" x14ac:dyDescent="0.25">
      <c r="B72" s="288"/>
      <c r="C72" s="289"/>
      <c r="D72" s="62"/>
      <c r="E72" s="61" t="s">
        <v>1110</v>
      </c>
      <c r="F72" s="61" t="s">
        <v>1111</v>
      </c>
      <c r="G72" s="63"/>
      <c r="H72" s="63">
        <v>0</v>
      </c>
      <c r="I72" s="63">
        <v>915</v>
      </c>
      <c r="J72" s="63">
        <v>568</v>
      </c>
      <c r="K72" s="63">
        <v>0</v>
      </c>
      <c r="L72" s="97">
        <v>0</v>
      </c>
      <c r="M72" s="94">
        <v>0</v>
      </c>
      <c r="N72" s="94">
        <f t="shared" si="59"/>
        <v>0</v>
      </c>
      <c r="O72" s="94">
        <v>0</v>
      </c>
      <c r="P72" s="94">
        <v>0</v>
      </c>
      <c r="Q72" s="94">
        <v>0</v>
      </c>
      <c r="R72" s="94">
        <f>ROUND(42400*(1+_xlfn.RRI(4,$H$73,$L$73))^4/3,-2)</f>
        <v>11100</v>
      </c>
      <c r="S72" s="94">
        <f>ROUND(R72*R5/S5,-2)</f>
        <v>10800</v>
      </c>
      <c r="T72" s="94">
        <f>ROUND(S72*S5/T5,-2)</f>
        <v>10500</v>
      </c>
      <c r="U72" s="94">
        <f>ROUND(T72*T5/U5,-2)</f>
        <v>10200</v>
      </c>
      <c r="V72" s="76" t="s">
        <v>737</v>
      </c>
      <c r="W72" s="276"/>
      <c r="X72" s="276"/>
      <c r="Y72" s="276"/>
      <c r="Z72" s="276"/>
      <c r="AA72" s="276"/>
      <c r="AB72" s="276"/>
      <c r="AC72" s="276"/>
      <c r="AD72" s="276"/>
    </row>
    <row r="73" spans="2:30" ht="69" customHeight="1" x14ac:dyDescent="0.25">
      <c r="B73" s="288"/>
      <c r="C73" s="289"/>
      <c r="D73" s="62"/>
      <c r="E73" s="61" t="s">
        <v>329</v>
      </c>
      <c r="F73" s="61" t="s">
        <v>187</v>
      </c>
      <c r="G73" s="63"/>
      <c r="H73" s="87">
        <v>92564</v>
      </c>
      <c r="I73" s="87">
        <v>86197</v>
      </c>
      <c r="J73" s="87">
        <v>86927</v>
      </c>
      <c r="K73" s="87">
        <v>82328</v>
      </c>
      <c r="L73" s="87">
        <v>72748</v>
      </c>
      <c r="M73" s="94">
        <f>ROUND(L73*(1+_xlfn.RRI(4,$H$73,$L$73)),-2)</f>
        <v>68500</v>
      </c>
      <c r="N73" s="94">
        <f t="shared" si="59"/>
        <v>66500</v>
      </c>
      <c r="O73" s="94">
        <f>ROUND(M73*(1+_xlfn.RRI(4,$H$73,$L$73)),-2)</f>
        <v>64500</v>
      </c>
      <c r="P73" s="94">
        <f>ROUND(O73*(1+_xlfn.RRI(4,$H$73,$L$73)),-2)</f>
        <v>60700</v>
      </c>
      <c r="Q73" s="94">
        <f>ROUND(P73*(1+_xlfn.RRI(4,$H$73,$L$73)),-2)</f>
        <v>57200</v>
      </c>
      <c r="R73" s="94">
        <f>ROUND(Q73-42400*(1+_xlfn.RRI(4,$H$73,$L$73))^4,-2)</f>
        <v>23900</v>
      </c>
      <c r="S73" s="94">
        <f>ROUND(R73*(1+_xlfn.RRI(4,$H$73,$L$73)),-2)</f>
        <v>22500</v>
      </c>
      <c r="T73" s="94">
        <f>ROUND(S73*(1+_xlfn.RRI(4,$H$73,$L$73)),-2)</f>
        <v>21200</v>
      </c>
      <c r="U73" s="94">
        <f>ROUND(T73*(1+_xlfn.RRI(4,$H$73,$L$73)),-2)</f>
        <v>20000</v>
      </c>
      <c r="V73" s="76" t="s">
        <v>361</v>
      </c>
      <c r="W73" s="276"/>
      <c r="X73" s="276"/>
      <c r="Y73" s="276"/>
      <c r="Z73" s="276"/>
      <c r="AA73" s="276"/>
      <c r="AB73" s="276"/>
      <c r="AC73" s="276"/>
      <c r="AD73" s="276"/>
    </row>
    <row r="74" spans="2:30" ht="66" x14ac:dyDescent="0.25">
      <c r="B74" s="288"/>
      <c r="C74" s="289"/>
      <c r="D74" s="62"/>
      <c r="E74" s="61" t="s">
        <v>188</v>
      </c>
      <c r="F74" s="61" t="s">
        <v>187</v>
      </c>
      <c r="G74" s="63"/>
      <c r="H74" s="87">
        <v>31350</v>
      </c>
      <c r="I74" s="87">
        <v>31350</v>
      </c>
      <c r="J74" s="87">
        <v>31350</v>
      </c>
      <c r="K74" s="87">
        <v>31350</v>
      </c>
      <c r="L74" s="87">
        <v>31350</v>
      </c>
      <c r="M74" s="87">
        <f>L74*1.04</f>
        <v>32604</v>
      </c>
      <c r="N74" s="87">
        <f t="shared" si="59"/>
        <v>33256.080000000002</v>
      </c>
      <c r="O74" s="87">
        <f>M74*1.04</f>
        <v>33908.160000000003</v>
      </c>
      <c r="P74" s="87">
        <f t="shared" ref="P74:U74" si="64">O74*1.04</f>
        <v>35264.486400000002</v>
      </c>
      <c r="Q74" s="87">
        <f t="shared" si="64"/>
        <v>36675.065856000001</v>
      </c>
      <c r="R74" s="87">
        <f t="shared" si="64"/>
        <v>38142.068490240003</v>
      </c>
      <c r="S74" s="87">
        <f t="shared" si="64"/>
        <v>39667.751229849608</v>
      </c>
      <c r="T74" s="87">
        <f t="shared" si="64"/>
        <v>41254.461279043593</v>
      </c>
      <c r="U74" s="87">
        <f t="shared" si="64"/>
        <v>42904.639730205337</v>
      </c>
      <c r="V74" s="76" t="s">
        <v>382</v>
      </c>
      <c r="W74" s="276"/>
      <c r="X74" s="276"/>
      <c r="Y74" s="276"/>
      <c r="Z74" s="276"/>
      <c r="AA74" s="276"/>
      <c r="AB74" s="276"/>
      <c r="AC74" s="276"/>
      <c r="AD74" s="276"/>
    </row>
    <row r="75" spans="2:30" ht="99" x14ac:dyDescent="0.25">
      <c r="B75" s="288" t="s">
        <v>47</v>
      </c>
      <c r="C75" s="289" t="s">
        <v>994</v>
      </c>
      <c r="D75" s="65" t="s">
        <v>74</v>
      </c>
      <c r="E75" s="66" t="s">
        <v>223</v>
      </c>
      <c r="F75" s="66" t="s">
        <v>237</v>
      </c>
      <c r="G75" s="66" t="s">
        <v>323</v>
      </c>
      <c r="H75" s="110">
        <f>H78/H80</f>
        <v>0.85904827636528991</v>
      </c>
      <c r="I75" s="110">
        <f>I78/I80</f>
        <v>3.781811882663022</v>
      </c>
      <c r="J75" s="110">
        <f>J78/J80</f>
        <v>1.1536765478808915</v>
      </c>
      <c r="K75" s="110">
        <f>K78/K80</f>
        <v>0.84758997819274573</v>
      </c>
      <c r="L75" s="110">
        <f>L78/L80</f>
        <v>0.49288008381439341</v>
      </c>
      <c r="M75" s="110">
        <f t="shared" ref="M75:U75" si="65">M78/M80</f>
        <v>1.1619241202396153</v>
      </c>
      <c r="N75" s="110">
        <f>N78/N80</f>
        <v>0.73661730315813612</v>
      </c>
      <c r="O75" s="110">
        <f>O78/O80</f>
        <v>0.31339914963844062</v>
      </c>
      <c r="P75" s="110">
        <f t="shared" si="65"/>
        <v>72.784003515710836</v>
      </c>
      <c r="Q75" s="110">
        <f t="shared" si="65"/>
        <v>1.2769512929547069</v>
      </c>
      <c r="R75" s="110">
        <f t="shared" si="65"/>
        <v>1.4170151759383753</v>
      </c>
      <c r="S75" s="110">
        <f t="shared" si="65"/>
        <v>1.1380741723957517</v>
      </c>
      <c r="T75" s="110">
        <f t="shared" si="65"/>
        <v>1.2167921238052943</v>
      </c>
      <c r="U75" s="110">
        <f t="shared" si="65"/>
        <v>1.1728695214528837</v>
      </c>
      <c r="V75" s="80"/>
      <c r="W75" s="276">
        <f>'StG 5'!AD4</f>
        <v>180000</v>
      </c>
      <c r="X75" s="276">
        <f>'StG 5'!AE4</f>
        <v>689000</v>
      </c>
      <c r="Y75" s="276">
        <f>'StG 5'!AF4</f>
        <v>570000</v>
      </c>
      <c r="Z75" s="276">
        <f>'StG 5'!AG4</f>
        <v>462000</v>
      </c>
      <c r="AA75" s="276">
        <f>'StG 5'!AH4</f>
        <v>444000</v>
      </c>
      <c r="AB75" s="276">
        <f>'StG 5'!AI4</f>
        <v>512000</v>
      </c>
      <c r="AC75" s="276">
        <f>'StG 5'!AJ4</f>
        <v>566000</v>
      </c>
      <c r="AD75" s="276">
        <f>SUM(W75:AC81)</f>
        <v>3423000</v>
      </c>
    </row>
    <row r="76" spans="2:30" x14ac:dyDescent="0.25">
      <c r="B76" s="288"/>
      <c r="C76" s="289"/>
      <c r="D76" s="62"/>
      <c r="E76" s="61"/>
      <c r="F76" s="63"/>
      <c r="G76" s="63">
        <v>2017</v>
      </c>
      <c r="H76" s="63"/>
      <c r="I76" s="63"/>
      <c r="J76" s="84"/>
      <c r="K76" s="84"/>
      <c r="L76" s="63"/>
      <c r="M76" s="76"/>
      <c r="N76" s="76"/>
      <c r="O76" s="76"/>
      <c r="P76" s="76"/>
      <c r="Q76" s="76"/>
      <c r="R76" s="76"/>
      <c r="S76" s="76"/>
      <c r="T76" s="76"/>
      <c r="U76" s="76"/>
      <c r="V76" s="76"/>
      <c r="W76" s="276"/>
      <c r="X76" s="276"/>
      <c r="Y76" s="276"/>
      <c r="Z76" s="276"/>
      <c r="AA76" s="276"/>
      <c r="AB76" s="276"/>
      <c r="AC76" s="276"/>
      <c r="AD76" s="276"/>
    </row>
    <row r="77" spans="2:30" ht="104.25" customHeight="1" x14ac:dyDescent="0.25">
      <c r="B77" s="288"/>
      <c r="C77" s="289"/>
      <c r="D77" s="62"/>
      <c r="E77" s="61" t="s">
        <v>1107</v>
      </c>
      <c r="F77" s="61" t="s">
        <v>331</v>
      </c>
      <c r="G77" s="98">
        <v>0.49804709899999999</v>
      </c>
      <c r="H77" s="98">
        <v>0.44340917000000002</v>
      </c>
      <c r="I77" s="99">
        <v>1.7231105</v>
      </c>
      <c r="J77" s="84">
        <v>1.9417846400000001</v>
      </c>
      <c r="K77" s="84">
        <v>1.7019808299999999</v>
      </c>
      <c r="L77" s="84">
        <v>0.87469969999999997</v>
      </c>
      <c r="M77" s="84">
        <f>L77*(1+_xlfn.RRI(4,H77,L77))</f>
        <v>1.0366270909008211</v>
      </c>
      <c r="N77" s="84">
        <f>+(M77+O77)/2</f>
        <v>0.68481354545041051</v>
      </c>
      <c r="O77" s="100">
        <f>('StG 1'!AD18+'StG 1'!AD28+'StG 1'!AD33+'StG 1'!AD34+'StG 1'!AD35+'StG 1'!AD40+'StG 2'!AD12+'StG 2'!AD16+'StG 2'!AD17+'StG 2'!AD18+'StG 2'!AD19+'StG 2'!AD22+'StG 2'!AD24+'StG 2'!AD28+'StG 2'!AD29+'StG 2'!AD30+'StG 2'!AD31+'StG 2'!AD32+'StG 2'!AD43+'StG 2'!AD44+'StG 2'!AD45+'StG 2'!AD47+'StG 2'!AD49+'StG 2'!AD50+'StG 2'!AD51+'StG 3'!AD10+'StG 3'!AD11+'StG 3'!AD15+'StG 3'!AD16+'StG 3'!AD17+'StG 3'!AD35+'StG 3'!AD37+'StG 3'!AD40+'StG 3'!AD41+'StG 3'!AD44+'StG 3'!AD45+'StG 3'!AD46+'StG 3'!AD47+'StG 3'!AD48+'StG 3'!AD50+'StG 4'!AD4+'StG 5'!AD4)/1000000</f>
        <v>0.33300000000000002</v>
      </c>
      <c r="P77" s="100">
        <f>('StG 1'!AE18+'StG 1'!AE28+'StG 1'!AE33+'StG 1'!AE34+'StG 1'!AE35+'StG 1'!AE40+'StG 2'!AE12+'StG 2'!AE16+'StG 2'!AE17+'StG 2'!AE18+'StG 2'!AE19+'StG 2'!AE22+'StG 2'!AE24+'StG 2'!AE28+'StG 2'!AE29+'StG 2'!AE30+'StG 2'!AE31+'StG 2'!AE32+'StG 2'!AE43+'StG 2'!AE44+'StG 2'!AE45+'StG 2'!AE47+'StG 2'!AE49+'StG 2'!AE50+'StG 2'!AE51+'StG 3'!AE10+'StG 3'!AE11+'StG 3'!AE15+'StG 3'!AE16+'StG 3'!AE17+'StG 3'!AE35+'StG 3'!AE37+'StG 3'!AE40+'StG 3'!AE41+'StG 3'!AE44+'StG 3'!AE45+'StG 3'!AE46+'StG 3'!AE47+'StG 3'!AE48+'StG 3'!AE50+'StG 4'!AE4+'StG 5'!AE4)/1000000</f>
        <v>24.843</v>
      </c>
      <c r="Q77" s="100">
        <f>('StG 1'!AF18+'StG 1'!AF28+'StG 1'!AF33+'StG 1'!AF34+'StG 1'!AF35+'StG 1'!AF40+'StG 2'!AF12+'StG 2'!AF16+'StG 2'!AF17+'StG 2'!AF18+'StG 2'!AF19+'StG 2'!AF22+'StG 2'!AF24+'StG 2'!AF28+'StG 2'!AF29+'StG 2'!AF30+'StG 2'!AF31+'StG 2'!AF32+'StG 2'!AF43+'StG 2'!AF44+'StG 2'!AF45+'StG 2'!AF47+'StG 2'!AF49+'StG 2'!AF50+'StG 2'!AF51+'StG 3'!AF10+'StG 3'!AF11+'StG 3'!AF15+'StG 3'!AF16+'StG 3'!AF17+'StG 3'!AF35+'StG 3'!AF37+'StG 3'!AF40+'StG 3'!AF41+'StG 3'!AF44+'StG 3'!AF45+'StG 3'!AF46+'StG 3'!AF47+'StG 3'!AF48+'StG 3'!AF50+'StG 4'!AF4+'StG 5'!AF4)/1000000</f>
        <v>32.674999999999997</v>
      </c>
      <c r="R77" s="100">
        <f>('StG 1'!AG18+'StG 1'!AG28+'StG 1'!AG33+'StG 1'!AG34+'StG 1'!AG35+'StG 1'!AG40+'StG 2'!AG12+'StG 2'!AG16+'StG 2'!AG17+'StG 2'!AG18+'StG 2'!AG19+'StG 2'!AG22+'StG 2'!AG24+'StG 2'!AG28+'StG 2'!AG29+'StG 2'!AG30+'StG 2'!AG31+'StG 2'!AG32+'StG 2'!AG43+'StG 2'!AG44+'StG 2'!AG45+'StG 2'!AG47+'StG 2'!AG49+'StG 2'!AG50+'StG 2'!AG51+'StG 3'!AG10+'StG 3'!AG11+'StG 3'!AG15+'StG 3'!AG16+'StG 3'!AG17+'StG 3'!AG35+'StG 3'!AG37+'StG 3'!AG40+'StG 3'!AG41+'StG 3'!AG44+'StG 3'!AG45+'StG 3'!AG46+'StG 3'!AG47+'StG 3'!AG48+'StG 3'!AG50+'StG 4'!AG4+'StG 5'!AG4)/1000000</f>
        <v>47.69</v>
      </c>
      <c r="S77" s="100">
        <f>('StG 1'!AH18+'StG 1'!AH28+'StG 1'!AH33+'StG 1'!AH34+'StG 1'!AH35+'StG 1'!AH40+'StG 2'!AH12+'StG 2'!AH16+'StG 2'!AH17+'StG 2'!AH18+'StG 2'!AH19+'StG 2'!AH22+'StG 2'!AH24+'StG 2'!AH28+'StG 2'!AH29+'StG 2'!AH30+'StG 2'!AH31+'StG 2'!AH32+'StG 2'!AH43+'StG 2'!AH44+'StG 2'!AH45+'StG 2'!AH47+'StG 2'!AH49+'StG 2'!AH50+'StG 2'!AH51+'StG 3'!AH10+'StG 3'!AH11+'StG 3'!AH15+'StG 3'!AH16+'StG 3'!AH17+'StG 3'!AH35+'StG 3'!AH37+'StG 3'!AH40+'StG 3'!AH41+'StG 3'!AH44+'StG 3'!AH45+'StG 3'!AH46+'StG 3'!AH47+'StG 3'!AH48+'StG 3'!AH50+'StG 4'!AH4+'StG 5'!AH4)/1000000</f>
        <v>55.902999999999999</v>
      </c>
      <c r="T77" s="100">
        <f>('StG 1'!AI18+'StG 1'!AI28+'StG 1'!AI33+'StG 1'!AI34+'StG 1'!AI35+'StG 1'!AI40+'StG 2'!AI12+'StG 2'!AI16+'StG 2'!AI17+'StG 2'!AI18+'StG 2'!AI19+'StG 2'!AI22+'StG 2'!AI24+'StG 2'!AI28+'StG 2'!AI29+'StG 2'!AI30+'StG 2'!AI31+'StG 2'!AI32+'StG 2'!AI43+'StG 2'!AI44+'StG 2'!AI45+'StG 2'!AI47+'StG 2'!AI49+'StG 2'!AI50+'StG 2'!AI51+'StG 3'!AI10+'StG 3'!AI11+'StG 3'!AI15+'StG 3'!AI16+'StG 3'!AI17+'StG 3'!AI35+'StG 3'!AI37+'StG 3'!AI40+'StG 3'!AI41+'StG 3'!AI44+'StG 3'!AI45+'StG 3'!AI46+'StG 3'!AI47+'StG 3'!AI48+'StG 3'!AI50+'StG 4'!AI4+'StG 5'!AI4)/1000000</f>
        <v>70.063000000000002</v>
      </c>
      <c r="U77" s="100">
        <f>('StG 1'!AJ18+'StG 1'!AJ28+'StG 1'!AJ33+'StG 1'!AJ34+'StG 1'!AJ35+'StG 1'!AJ40+'StG 2'!AJ12+'StG 2'!AJ16+'StG 2'!AJ17+'StG 2'!AJ18+'StG 2'!AJ19+'StG 2'!AJ22+'StG 2'!AJ24+'StG 2'!AJ28+'StG 2'!AJ29+'StG 2'!AJ30+'StG 2'!AJ31+'StG 2'!AJ32+'StG 2'!AJ43+'StG 2'!AJ44+'StG 2'!AJ45+'StG 2'!AJ47+'StG 2'!AJ49+'StG 2'!AJ50+'StG 2'!AJ51+'StG 3'!AJ10+'StG 3'!AJ11+'StG 3'!AJ15+'StG 3'!AJ16+'StG 3'!AJ17+'StG 3'!AJ35+'StG 3'!AJ37+'StG 3'!AJ40+'StG 3'!AJ41+'StG 3'!AJ44+'StG 3'!AJ45+'StG 3'!AJ46+'StG 3'!AJ47+'StG 3'!AJ48+'StG 3'!AJ50+'StG 4'!AJ4+'StG 5'!AJ4)/1000000</f>
        <v>84.64</v>
      </c>
      <c r="V77" s="277" t="s">
        <v>384</v>
      </c>
      <c r="W77" s="276"/>
      <c r="X77" s="276"/>
      <c r="Y77" s="276"/>
      <c r="Z77" s="276"/>
      <c r="AA77" s="276"/>
      <c r="AB77" s="276"/>
      <c r="AC77" s="276"/>
      <c r="AD77" s="276"/>
    </row>
    <row r="78" spans="2:30" x14ac:dyDescent="0.25">
      <c r="B78" s="288"/>
      <c r="C78" s="289"/>
      <c r="D78" s="62"/>
      <c r="E78" s="63" t="s">
        <v>189</v>
      </c>
      <c r="F78" s="61"/>
      <c r="G78" s="63"/>
      <c r="H78" s="101">
        <f>H77/G77</f>
        <v>0.89029565856380988</v>
      </c>
      <c r="I78" s="101">
        <f>I77/H77</f>
        <v>3.8860506651226898</v>
      </c>
      <c r="J78" s="101">
        <f>J77/I77</f>
        <v>1.1269066261275758</v>
      </c>
      <c r="K78" s="101">
        <f>K77/J77</f>
        <v>0.87650339535078403</v>
      </c>
      <c r="L78" s="101">
        <f>L77/K77</f>
        <v>0.5139304066074587</v>
      </c>
      <c r="M78" s="101">
        <f t="shared" ref="M78:U78" si="66">M77/L77</f>
        <v>1.1851234096694228</v>
      </c>
      <c r="N78" s="101">
        <f>+(M78+O78)/2</f>
        <v>0.75317876902441216</v>
      </c>
      <c r="O78" s="101">
        <f>O77/M77</f>
        <v>0.32123412837940163</v>
      </c>
      <c r="P78" s="101">
        <f t="shared" si="66"/>
        <v>74.603603603603602</v>
      </c>
      <c r="Q78" s="101">
        <f t="shared" si="66"/>
        <v>1.3152598317433482</v>
      </c>
      <c r="R78" s="101">
        <f t="shared" si="66"/>
        <v>1.4595256312165266</v>
      </c>
      <c r="S78" s="101">
        <f t="shared" si="66"/>
        <v>1.1722163975676243</v>
      </c>
      <c r="T78" s="101">
        <f t="shared" si="66"/>
        <v>1.2532958875194533</v>
      </c>
      <c r="U78" s="101">
        <f t="shared" si="66"/>
        <v>1.2080556070964703</v>
      </c>
      <c r="V78" s="277"/>
      <c r="W78" s="276"/>
      <c r="X78" s="276"/>
      <c r="Y78" s="276"/>
      <c r="Z78" s="276"/>
      <c r="AA78" s="276"/>
      <c r="AB78" s="276"/>
      <c r="AC78" s="276"/>
      <c r="AD78" s="276"/>
    </row>
    <row r="79" spans="2:30" x14ac:dyDescent="0.25">
      <c r="B79" s="288"/>
      <c r="C79" s="289"/>
      <c r="D79" s="62"/>
      <c r="E79" s="61" t="s">
        <v>190</v>
      </c>
      <c r="F79" s="61" t="s">
        <v>185</v>
      </c>
      <c r="G79" s="84">
        <v>1011.7</v>
      </c>
      <c r="H79" s="102">
        <f t="shared" ref="H79:U79" si="67">H5</f>
        <v>1048.5</v>
      </c>
      <c r="I79" s="102">
        <f t="shared" si="67"/>
        <v>1077.4000000000001</v>
      </c>
      <c r="J79" s="102">
        <f t="shared" si="67"/>
        <v>1052.4000000000001</v>
      </c>
      <c r="K79" s="102">
        <f t="shared" si="67"/>
        <v>1088.3</v>
      </c>
      <c r="L79" s="102">
        <f t="shared" si="67"/>
        <v>1134.78</v>
      </c>
      <c r="M79" s="102">
        <f t="shared" si="67"/>
        <v>1157.4373226259627</v>
      </c>
      <c r="N79" s="102">
        <f>+(M79+O79)/2</f>
        <v>1171.9052891587871</v>
      </c>
      <c r="O79" s="102">
        <f t="shared" si="67"/>
        <v>1186.3732556916116</v>
      </c>
      <c r="P79" s="102">
        <f t="shared" si="67"/>
        <v>1216.0325870839017</v>
      </c>
      <c r="Q79" s="102">
        <f t="shared" si="67"/>
        <v>1252.5135646964188</v>
      </c>
      <c r="R79" s="102">
        <f t="shared" si="67"/>
        <v>1290.0889716373115</v>
      </c>
      <c r="S79" s="102">
        <f t="shared" si="67"/>
        <v>1328.7916407864309</v>
      </c>
      <c r="T79" s="102">
        <f t="shared" si="67"/>
        <v>1368.6553900100239</v>
      </c>
      <c r="U79" s="102">
        <f t="shared" si="67"/>
        <v>1409.7150517103246</v>
      </c>
      <c r="V79" s="277"/>
      <c r="W79" s="276"/>
      <c r="X79" s="276"/>
      <c r="Y79" s="276"/>
      <c r="Z79" s="276"/>
      <c r="AA79" s="276"/>
      <c r="AB79" s="276"/>
      <c r="AC79" s="276"/>
      <c r="AD79" s="276"/>
    </row>
    <row r="80" spans="2:30" x14ac:dyDescent="0.25">
      <c r="B80" s="288"/>
      <c r="C80" s="289"/>
      <c r="D80" s="62"/>
      <c r="E80" s="84" t="s">
        <v>189</v>
      </c>
      <c r="F80" s="61"/>
      <c r="G80" s="63"/>
      <c r="H80" s="101">
        <f t="shared" ref="H80:M80" si="68">H79/G79</f>
        <v>1.0363744192942572</v>
      </c>
      <c r="I80" s="101">
        <f t="shared" si="68"/>
        <v>1.0275631855030998</v>
      </c>
      <c r="J80" s="101">
        <f t="shared" si="68"/>
        <v>0.97679599034713194</v>
      </c>
      <c r="K80" s="101">
        <f t="shared" si="68"/>
        <v>1.0341125047510451</v>
      </c>
      <c r="L80" s="101">
        <f t="shared" si="68"/>
        <v>1.0427088119084811</v>
      </c>
      <c r="M80" s="101">
        <f t="shared" si="68"/>
        <v>1.0199662689031908</v>
      </c>
      <c r="N80" s="101">
        <f>+(M80+O80)/2</f>
        <v>1.0224831344515954</v>
      </c>
      <c r="O80" s="101">
        <f>O79/M79</f>
        <v>1.0249999999999999</v>
      </c>
      <c r="P80" s="101">
        <f t="shared" ref="P80:U80" si="69">P79/O79</f>
        <v>1.0249999999999999</v>
      </c>
      <c r="Q80" s="101">
        <f t="shared" si="69"/>
        <v>1.03</v>
      </c>
      <c r="R80" s="101">
        <f t="shared" si="69"/>
        <v>1.03</v>
      </c>
      <c r="S80" s="101">
        <f t="shared" si="69"/>
        <v>1.03</v>
      </c>
      <c r="T80" s="101">
        <f t="shared" si="69"/>
        <v>1.03</v>
      </c>
      <c r="U80" s="101">
        <f t="shared" si="69"/>
        <v>1.03</v>
      </c>
      <c r="V80" s="277"/>
      <c r="W80" s="276"/>
      <c r="X80" s="276"/>
      <c r="Y80" s="276"/>
      <c r="Z80" s="276"/>
      <c r="AA80" s="276"/>
      <c r="AB80" s="276"/>
      <c r="AC80" s="276"/>
      <c r="AD80" s="276"/>
    </row>
    <row r="81" spans="2:30" ht="66" x14ac:dyDescent="0.25">
      <c r="B81" s="288"/>
      <c r="C81" s="289"/>
      <c r="D81" s="65" t="s">
        <v>77</v>
      </c>
      <c r="E81" s="66" t="s">
        <v>224</v>
      </c>
      <c r="F81" s="66" t="s">
        <v>235</v>
      </c>
      <c r="G81" s="66" t="s">
        <v>245</v>
      </c>
      <c r="H81" s="68">
        <f>H77/H70</f>
        <v>1.2434869580995067E-3</v>
      </c>
      <c r="I81" s="68">
        <f>I77/I70</f>
        <v>3.9093100498898518E-3</v>
      </c>
      <c r="J81" s="68">
        <f>J77/J70</f>
        <v>4.7186299389207426E-3</v>
      </c>
      <c r="K81" s="68">
        <f>K77/K70</f>
        <v>3.9926377698403723E-3</v>
      </c>
      <c r="L81" s="68">
        <f>L77/L70</f>
        <v>1.8422797772498273E-3</v>
      </c>
      <c r="M81" s="74">
        <f t="shared" ref="M81:U81" si="70">M77/((M5*1000*M43*12*0.2)/1000000000)</f>
        <v>1.4354031088934019E-3</v>
      </c>
      <c r="N81" s="74">
        <f t="shared" si="70"/>
        <v>8.8353299578469941E-4</v>
      </c>
      <c r="O81" s="74">
        <f t="shared" si="70"/>
        <v>4.0165545867461267E-4</v>
      </c>
      <c r="P81" s="74">
        <f t="shared" si="70"/>
        <v>2.6101868139533441E-2</v>
      </c>
      <c r="Q81" s="74">
        <f t="shared" si="70"/>
        <v>2.9759655597598658E-2</v>
      </c>
      <c r="R81" s="74">
        <f t="shared" si="70"/>
        <v>3.7651681796872068E-2</v>
      </c>
      <c r="S81" s="74">
        <f t="shared" si="70"/>
        <v>3.825929160739585E-2</v>
      </c>
      <c r="T81" s="74">
        <f t="shared" si="70"/>
        <v>4.1565718473436847E-2</v>
      </c>
      <c r="U81" s="74">
        <f t="shared" si="70"/>
        <v>4.3527825298915329E-2</v>
      </c>
      <c r="V81" s="277"/>
      <c r="W81" s="276"/>
      <c r="X81" s="276"/>
      <c r="Y81" s="276"/>
      <c r="Z81" s="276"/>
      <c r="AA81" s="276"/>
      <c r="AB81" s="276"/>
      <c r="AC81" s="276"/>
      <c r="AD81" s="276"/>
    </row>
  </sheetData>
  <dataConsolidate/>
  <mergeCells count="72">
    <mergeCell ref="AD75:AD81"/>
    <mergeCell ref="W2:AD2"/>
    <mergeCell ref="AD4:AD13"/>
    <mergeCell ref="AD14:AD43"/>
    <mergeCell ref="AD44:AD52"/>
    <mergeCell ref="AD53:AD66"/>
    <mergeCell ref="AB44:AB52"/>
    <mergeCell ref="AC44:AC52"/>
    <mergeCell ref="AB53:AB66"/>
    <mergeCell ref="AC53:AC66"/>
    <mergeCell ref="AD67:AD74"/>
    <mergeCell ref="AC4:AC13"/>
    <mergeCell ref="W14:W43"/>
    <mergeCell ref="X14:X43"/>
    <mergeCell ref="Y14:Y43"/>
    <mergeCell ref="Z14:Z43"/>
    <mergeCell ref="AB67:AB74"/>
    <mergeCell ref="AC67:AC74"/>
    <mergeCell ref="W75:W81"/>
    <mergeCell ref="X75:X81"/>
    <mergeCell ref="Y75:Y81"/>
    <mergeCell ref="Z75:Z81"/>
    <mergeCell ref="AA75:AA81"/>
    <mergeCell ref="AB75:AB81"/>
    <mergeCell ref="AC75:AC81"/>
    <mergeCell ref="W67:W74"/>
    <mergeCell ref="X67:X74"/>
    <mergeCell ref="Y67:Y74"/>
    <mergeCell ref="Z67:Z74"/>
    <mergeCell ref="AA67:AA74"/>
    <mergeCell ref="AC14:AC43"/>
    <mergeCell ref="W4:W13"/>
    <mergeCell ref="X4:X13"/>
    <mergeCell ref="Y4:Y13"/>
    <mergeCell ref="Z4:Z13"/>
    <mergeCell ref="AA4:AA13"/>
    <mergeCell ref="AB4:AB13"/>
    <mergeCell ref="AA14:AA43"/>
    <mergeCell ref="AB14:AB43"/>
    <mergeCell ref="AA44:AA52"/>
    <mergeCell ref="W53:W66"/>
    <mergeCell ref="X53:X66"/>
    <mergeCell ref="Y53:Y66"/>
    <mergeCell ref="Z53:Z66"/>
    <mergeCell ref="AA53:AA66"/>
    <mergeCell ref="B75:B81"/>
    <mergeCell ref="B4:B13"/>
    <mergeCell ref="C4:C13"/>
    <mergeCell ref="B44:B52"/>
    <mergeCell ref="C44:C52"/>
    <mergeCell ref="B53:B66"/>
    <mergeCell ref="C53:C66"/>
    <mergeCell ref="B14:B43"/>
    <mergeCell ref="C14:C43"/>
    <mergeCell ref="C67:C74"/>
    <mergeCell ref="B67:B74"/>
    <mergeCell ref="C75:C81"/>
    <mergeCell ref="V77:V81"/>
    <mergeCell ref="X1:Z1"/>
    <mergeCell ref="V19:V23"/>
    <mergeCell ref="V26:V29"/>
    <mergeCell ref="M67:U67"/>
    <mergeCell ref="V51:V52"/>
    <mergeCell ref="V57:V58"/>
    <mergeCell ref="V59:V60"/>
    <mergeCell ref="M2:U2"/>
    <mergeCell ref="V45:V46"/>
    <mergeCell ref="H2:L2"/>
    <mergeCell ref="W44:W52"/>
    <mergeCell ref="X44:X52"/>
    <mergeCell ref="Y44:Y52"/>
    <mergeCell ref="Z44:Z52"/>
  </mergeCells>
  <pageMargins left="0.7" right="0.7" top="0.75" bottom="0.75" header="0.3" footer="0.3"/>
  <pageSetup paperSize="9" orientation="portrait" r:id="rId1"/>
  <ignoredErrors>
    <ignoredError sqref="H79 I79:L7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29"/>
  <sheetViews>
    <sheetView zoomScale="80" zoomScaleNormal="80" zoomScaleSheetLayoutView="10" workbookViewId="0">
      <pane xSplit="3" ySplit="3" topLeftCell="D34" activePane="bottomRight" state="frozen"/>
      <selection pane="topRight" activeCell="D1" sqref="D1"/>
      <selection pane="bottomLeft" activeCell="A4" sqref="A4"/>
      <selection pane="bottomRight" activeCell="AS9" sqref="AS9"/>
    </sheetView>
  </sheetViews>
  <sheetFormatPr defaultColWidth="8.85546875" defaultRowHeight="16.5" x14ac:dyDescent="0.25"/>
  <cols>
    <col min="1" max="1" width="3" style="56" customWidth="1"/>
    <col min="2" max="2" width="20.7109375" style="59" customWidth="1"/>
    <col min="3" max="3" width="50.7109375" style="58" customWidth="1"/>
    <col min="4" max="4" width="30.7109375" style="57" customWidth="1"/>
    <col min="5" max="11" width="6.5703125" style="58" bestFit="1" customWidth="1"/>
    <col min="12" max="12" width="20.7109375" style="59" customWidth="1"/>
    <col min="13" max="13" width="39.28515625" style="58" customWidth="1"/>
    <col min="14" max="14" width="37.28515625" style="56" customWidth="1"/>
    <col min="15" max="15" width="51.28515625" style="56" customWidth="1"/>
    <col min="16" max="16" width="12.42578125" style="111" hidden="1" customWidth="1"/>
    <col min="17" max="17" width="12.5703125" style="111" hidden="1" customWidth="1"/>
    <col min="18" max="18" width="12.42578125" style="111" hidden="1" customWidth="1"/>
    <col min="19" max="19" width="23.5703125" style="111" hidden="1" customWidth="1"/>
    <col min="20" max="20" width="12.42578125" style="111" hidden="1" customWidth="1" collapsed="1"/>
    <col min="21" max="21" width="12.5703125" style="111" bestFit="1" customWidth="1"/>
    <col min="22" max="22" width="15.140625" style="111" bestFit="1" customWidth="1"/>
    <col min="23" max="23" width="13.28515625" style="111" bestFit="1" customWidth="1"/>
    <col min="24" max="24" width="15.7109375" style="111" bestFit="1" customWidth="1"/>
    <col min="25" max="25" width="17.28515625" style="111" bestFit="1" customWidth="1"/>
    <col min="26" max="26" width="17.7109375" style="111" bestFit="1" customWidth="1"/>
    <col min="27" max="27" width="17.85546875" style="111" bestFit="1" customWidth="1"/>
    <col min="28" max="28" width="18.28515625" style="111" bestFit="1" customWidth="1"/>
    <col min="29" max="29" width="18.85546875" style="111" customWidth="1"/>
    <col min="30" max="30" width="15" style="119" hidden="1" customWidth="1"/>
    <col min="31" max="31" width="21.5703125" style="119" hidden="1" customWidth="1"/>
    <col min="32" max="32" width="22.140625" style="119" hidden="1" customWidth="1"/>
    <col min="33" max="33" width="22.5703125" style="119" hidden="1" customWidth="1"/>
    <col min="34" max="36" width="23" style="119" hidden="1" customWidth="1"/>
    <col min="37" max="37" width="20.85546875" style="119" customWidth="1"/>
    <col min="38" max="38" width="30.85546875" style="120" customWidth="1"/>
    <col min="39" max="39" width="9.140625" style="56" bestFit="1" customWidth="1"/>
    <col min="40" max="40" width="8.85546875" style="56"/>
    <col min="41" max="41" width="9" style="56" bestFit="1" customWidth="1"/>
    <col min="42" max="43" width="18" style="56" bestFit="1" customWidth="1"/>
    <col min="44" max="45" width="17.85546875" style="56" bestFit="1" customWidth="1"/>
    <col min="46" max="46" width="17.7109375" style="56" bestFit="1" customWidth="1"/>
    <col min="47" max="16384" width="8.85546875" style="56"/>
  </cols>
  <sheetData>
    <row r="1" spans="2:46" x14ac:dyDescent="0.25">
      <c r="AC1" s="56"/>
      <c r="AD1" s="56"/>
      <c r="AE1" s="56"/>
      <c r="AF1" s="56"/>
      <c r="AG1" s="56"/>
      <c r="AH1" s="56"/>
      <c r="AI1" s="56"/>
      <c r="AJ1" s="56"/>
      <c r="AK1" s="56"/>
      <c r="AL1" s="56"/>
    </row>
    <row r="2" spans="2:46" ht="49.5" customHeight="1" x14ac:dyDescent="0.25">
      <c r="B2" s="181" t="s">
        <v>40</v>
      </c>
      <c r="C2" s="182" t="s">
        <v>160</v>
      </c>
      <c r="D2" s="181" t="s">
        <v>337</v>
      </c>
      <c r="E2" s="294" t="s">
        <v>338</v>
      </c>
      <c r="F2" s="295"/>
      <c r="G2" s="295"/>
      <c r="H2" s="295"/>
      <c r="I2" s="295"/>
      <c r="J2" s="295"/>
      <c r="K2" s="296"/>
      <c r="L2" s="181" t="s">
        <v>41</v>
      </c>
      <c r="M2" s="181" t="s">
        <v>42</v>
      </c>
      <c r="N2" s="181" t="s">
        <v>238</v>
      </c>
      <c r="O2" s="181" t="s">
        <v>43</v>
      </c>
      <c r="P2" s="341" t="s">
        <v>44</v>
      </c>
      <c r="Q2" s="341"/>
      <c r="R2" s="341"/>
      <c r="S2" s="341"/>
      <c r="T2" s="341"/>
      <c r="U2" s="294" t="s">
        <v>336</v>
      </c>
      <c r="V2" s="295"/>
      <c r="W2" s="295"/>
      <c r="X2" s="295"/>
      <c r="Y2" s="295"/>
      <c r="Z2" s="295"/>
      <c r="AA2" s="295"/>
      <c r="AB2" s="295"/>
      <c r="AC2" s="296"/>
      <c r="AD2" s="294" t="s">
        <v>339</v>
      </c>
      <c r="AE2" s="295"/>
      <c r="AF2" s="295"/>
      <c r="AG2" s="295"/>
      <c r="AH2" s="295"/>
      <c r="AI2" s="295"/>
      <c r="AJ2" s="295"/>
      <c r="AK2" s="296"/>
      <c r="AL2" s="181" t="s">
        <v>350</v>
      </c>
      <c r="AM2" s="205"/>
      <c r="AN2" s="205"/>
      <c r="AO2" s="205"/>
      <c r="AP2" s="294" t="s">
        <v>952</v>
      </c>
      <c r="AQ2" s="295"/>
      <c r="AR2" s="295"/>
      <c r="AS2" s="295"/>
      <c r="AT2" s="296"/>
    </row>
    <row r="3" spans="2:46" x14ac:dyDescent="0.25">
      <c r="B3" s="206"/>
      <c r="C3" s="182"/>
      <c r="D3" s="181"/>
      <c r="E3" s="181">
        <v>2025</v>
      </c>
      <c r="F3" s="181">
        <v>2026</v>
      </c>
      <c r="G3" s="181">
        <v>2027</v>
      </c>
      <c r="H3" s="181">
        <v>2028</v>
      </c>
      <c r="I3" s="181">
        <v>2029</v>
      </c>
      <c r="J3" s="181">
        <v>2030</v>
      </c>
      <c r="K3" s="181">
        <v>2031</v>
      </c>
      <c r="L3" s="206"/>
      <c r="M3" s="146"/>
      <c r="N3" s="207"/>
      <c r="O3" s="207"/>
      <c r="P3" s="206">
        <v>2018</v>
      </c>
      <c r="Q3" s="206">
        <v>2019</v>
      </c>
      <c r="R3" s="206">
        <v>2020</v>
      </c>
      <c r="S3" s="206">
        <v>2021</v>
      </c>
      <c r="T3" s="206">
        <v>2022</v>
      </c>
      <c r="U3" s="181">
        <v>2023</v>
      </c>
      <c r="V3" s="181">
        <f>+U3+1</f>
        <v>2024</v>
      </c>
      <c r="W3" s="181">
        <f t="shared" ref="W3:AC3" si="0">+V3+1</f>
        <v>2025</v>
      </c>
      <c r="X3" s="181">
        <f t="shared" si="0"/>
        <v>2026</v>
      </c>
      <c r="Y3" s="181">
        <f t="shared" si="0"/>
        <v>2027</v>
      </c>
      <c r="Z3" s="181">
        <f t="shared" si="0"/>
        <v>2028</v>
      </c>
      <c r="AA3" s="181">
        <f t="shared" si="0"/>
        <v>2029</v>
      </c>
      <c r="AB3" s="181">
        <f t="shared" si="0"/>
        <v>2030</v>
      </c>
      <c r="AC3" s="181">
        <f t="shared" si="0"/>
        <v>2031</v>
      </c>
      <c r="AD3" s="181">
        <v>2025</v>
      </c>
      <c r="AE3" s="181">
        <f>+AD3+1</f>
        <v>2026</v>
      </c>
      <c r="AF3" s="181">
        <f t="shared" ref="AF3:AJ3" si="1">+AE3+1</f>
        <v>2027</v>
      </c>
      <c r="AG3" s="181">
        <f t="shared" si="1"/>
        <v>2028</v>
      </c>
      <c r="AH3" s="181">
        <f t="shared" si="1"/>
        <v>2029</v>
      </c>
      <c r="AI3" s="181">
        <f t="shared" si="1"/>
        <v>2030</v>
      </c>
      <c r="AJ3" s="181">
        <f t="shared" si="1"/>
        <v>2031</v>
      </c>
      <c r="AK3" s="181" t="s">
        <v>708</v>
      </c>
      <c r="AL3" s="145"/>
      <c r="AM3" s="205"/>
      <c r="AN3" s="205"/>
      <c r="AO3" s="205"/>
      <c r="AP3" s="171">
        <v>2031</v>
      </c>
      <c r="AQ3" s="171">
        <v>2032</v>
      </c>
      <c r="AR3" s="171">
        <v>2033</v>
      </c>
      <c r="AS3" s="171">
        <v>2034</v>
      </c>
      <c r="AT3" s="171">
        <v>2035</v>
      </c>
    </row>
    <row r="4" spans="2:46" ht="66" x14ac:dyDescent="0.25">
      <c r="B4" s="354" t="s">
        <v>1</v>
      </c>
      <c r="C4" s="338" t="s">
        <v>995</v>
      </c>
      <c r="D4" s="389"/>
      <c r="E4" s="389"/>
      <c r="F4" s="389"/>
      <c r="G4" s="389"/>
      <c r="H4" s="389"/>
      <c r="I4" s="389"/>
      <c r="J4" s="389"/>
      <c r="K4" s="389"/>
      <c r="L4" s="187" t="s">
        <v>68</v>
      </c>
      <c r="M4" s="90" t="s">
        <v>117</v>
      </c>
      <c r="N4" s="90" t="str">
        <f>'Strategic level'!F14</f>
        <v>Արմստատբանկ, Արմստատ</v>
      </c>
      <c r="O4" s="90" t="str">
        <f>'Strategic level'!G14</f>
        <v>Զբաղվածների մասնաբաժինը աշխատանքային ռեսուրսների նկատմամբ (մարզային քաղաքներ ներառող համայնքների բնակչություն, 15-74 տարեկան)</v>
      </c>
      <c r="P4" s="147">
        <f>IF(ISBLANK('Strategic level'!H14)," ",'Strategic level'!H14)</f>
        <v>0.48665304658244435</v>
      </c>
      <c r="Q4" s="147">
        <f>IF(ISBLANK('Strategic level'!I14)," ",'Strategic level'!I14)</f>
        <v>0.48575945624457662</v>
      </c>
      <c r="R4" s="147">
        <f>IF(ISBLANK('Strategic level'!J14)," ",'Strategic level'!J14)</f>
        <v>0.47846762306045104</v>
      </c>
      <c r="S4" s="147">
        <f>IF(ISBLANK('Strategic level'!K14)," ",'Strategic level'!K14)</f>
        <v>0.50220601229669437</v>
      </c>
      <c r="T4" s="147">
        <f>IF(ISBLANK('Strategic level'!L14)," ",'Strategic level'!L14)</f>
        <v>0.51248216567532467</v>
      </c>
      <c r="U4" s="147">
        <f>IF(ISBLANK('Strategic level'!M14)," ",'Strategic level'!M14)</f>
        <v>0.50190490237200069</v>
      </c>
      <c r="V4" s="147">
        <f>+(U4+W4)/2</f>
        <v>0.5069015961280583</v>
      </c>
      <c r="W4" s="147">
        <f>IF(ISBLANK('Strategic level'!O14)," ",'Strategic level'!O14)</f>
        <v>0.51189828988411601</v>
      </c>
      <c r="X4" s="147">
        <f>IF(ISBLANK('Strategic level'!P14)," ",'Strategic level'!P14)</f>
        <v>0.52243623758290003</v>
      </c>
      <c r="Y4" s="147">
        <f>IF(ISBLANK('Strategic level'!Q14)," ",'Strategic level'!Q14)</f>
        <v>0.53864374911328228</v>
      </c>
      <c r="Z4" s="147">
        <f>IF(ISBLANK('Strategic level'!R14)," ",'Strategic level'!R14)</f>
        <v>0.55519468473346978</v>
      </c>
      <c r="AA4" s="147">
        <f>IF(ISBLANK('Strategic level'!S14)," ",'Strategic level'!S14)</f>
        <v>0.57178827219034178</v>
      </c>
      <c r="AB4" s="147">
        <f>IF(ISBLANK('Strategic level'!T14)," ",'Strategic level'!T14)</f>
        <v>0.58903944812385856</v>
      </c>
      <c r="AC4" s="147">
        <f>IF(ISBLANK('Strategic level'!U14)," ",'Strategic level'!U14)</f>
        <v>0.60733289400916979</v>
      </c>
      <c r="AD4" s="367">
        <f>AD8+AD66</f>
        <v>50000</v>
      </c>
      <c r="AE4" s="367">
        <f t="shared" ref="AE4:AJ4" si="2">AE8+AE66</f>
        <v>21524000</v>
      </c>
      <c r="AF4" s="367">
        <f t="shared" si="2"/>
        <v>47947000</v>
      </c>
      <c r="AG4" s="367">
        <f t="shared" si="2"/>
        <v>59534000</v>
      </c>
      <c r="AH4" s="367">
        <f t="shared" si="2"/>
        <v>100429000</v>
      </c>
      <c r="AI4" s="367">
        <f t="shared" si="2"/>
        <v>138572000</v>
      </c>
      <c r="AJ4" s="367">
        <f t="shared" si="2"/>
        <v>191677000</v>
      </c>
      <c r="AK4" s="367">
        <f>AK8+AK66</f>
        <v>559733000</v>
      </c>
      <c r="AL4" s="317" t="s">
        <v>387</v>
      </c>
      <c r="AM4" s="205"/>
      <c r="AN4" s="205"/>
      <c r="AO4" s="205"/>
      <c r="AP4" s="297">
        <f>SUM(AP8:AP1048576)</f>
        <v>86792000</v>
      </c>
      <c r="AQ4" s="300">
        <f t="shared" ref="AQ4:AT4" si="3">SUM(AQ8:AQ1048576)</f>
        <v>82226000</v>
      </c>
      <c r="AR4" s="300">
        <f t="shared" si="3"/>
        <v>70337000</v>
      </c>
      <c r="AS4" s="300">
        <f t="shared" si="3"/>
        <v>57183000</v>
      </c>
      <c r="AT4" s="300">
        <f t="shared" si="3"/>
        <v>27980000</v>
      </c>
    </row>
    <row r="5" spans="2:46" ht="115.5" x14ac:dyDescent="0.25">
      <c r="B5" s="354"/>
      <c r="C5" s="339"/>
      <c r="D5" s="390"/>
      <c r="E5" s="390"/>
      <c r="F5" s="390"/>
      <c r="G5" s="390"/>
      <c r="H5" s="390"/>
      <c r="I5" s="390"/>
      <c r="J5" s="390"/>
      <c r="K5" s="390"/>
      <c r="L5" s="187" t="s">
        <v>69</v>
      </c>
      <c r="M5" s="90" t="s">
        <v>118</v>
      </c>
      <c r="N5" s="90" t="str">
        <f>'Strategic level'!F25</f>
        <v>Աշխատուժի հետազոտության միկրոտվյալների բազա, Արմստատ</v>
      </c>
      <c r="O5" s="90" t="str">
        <f>'Strategic level'!G25</f>
        <v>Ոչ գյուղատնտեսական ոլորտներում (տնտեսական գործունեության տեսակների Հայաստանի դասակարգչի B-U խմբեր) զբաղվածների թվաքանակի հարաբերությունը զբաղվածների ընդհանուր թվին (մարզային քաղաքներ ներառող համայնքների բնակչություն, 15-74 տարեկան)</v>
      </c>
      <c r="P5" s="147">
        <f>IF(ISBLANK('Strategic level'!H25)," ",'Strategic level'!H25)</f>
        <v>0.68118415589164694</v>
      </c>
      <c r="Q5" s="147" t="str">
        <f>IF(ISBLANK('Strategic level'!I25)," ",'Strategic level'!I25)</f>
        <v xml:space="preserve"> </v>
      </c>
      <c r="R5" s="147" t="str">
        <f>IF(ISBLANK('Strategic level'!J25)," ",'Strategic level'!J25)</f>
        <v xml:space="preserve"> </v>
      </c>
      <c r="S5" s="147">
        <f>IF(ISBLANK('Strategic level'!K25)," ",'Strategic level'!K25)</f>
        <v>0.72516631264610909</v>
      </c>
      <c r="T5" s="147">
        <f>IF(ISBLANK('Strategic level'!L25)," ",'Strategic level'!L25)</f>
        <v>0.69424525698406625</v>
      </c>
      <c r="U5" s="147">
        <f>IF(ISBLANK('Strategic level'!M25)," ",'Strategic level'!M25)</f>
        <v>0.69748154579537014</v>
      </c>
      <c r="V5" s="147">
        <f t="shared" ref="V5:V6" si="4">+(U5+W5)/2</f>
        <v>0.70129146113067331</v>
      </c>
      <c r="W5" s="147">
        <f>IF(ISBLANK('Strategic level'!O25)," ",'Strategic level'!O25)</f>
        <v>0.70510137646597659</v>
      </c>
      <c r="X5" s="147">
        <f>IF(ISBLANK('Strategic level'!P25)," ",'Strategic level'!P25)</f>
        <v>0.71224402490727712</v>
      </c>
      <c r="Y5" s="147">
        <f>IF(ISBLANK('Strategic level'!Q25)," ",'Strategic level'!Q25)</f>
        <v>0.72161674871941084</v>
      </c>
      <c r="Z5" s="147">
        <f>IF(ISBLANK('Strategic level'!R25)," ",'Strategic level'!R25)</f>
        <v>0.73057189455904714</v>
      </c>
      <c r="AA5" s="147">
        <f>IF(ISBLANK('Strategic level'!S25)," ",'Strategic level'!S25)</f>
        <v>0.73913561631585145</v>
      </c>
      <c r="AB5" s="147">
        <f>IF(ISBLANK('Strategic level'!T25)," ",'Strategic level'!T25)</f>
        <v>0.74733186852149935</v>
      </c>
      <c r="AC5" s="147">
        <f>IF(ISBLANK('Strategic level'!U25)," ",'Strategic level'!U25)</f>
        <v>0.75518263533777708</v>
      </c>
      <c r="AD5" s="368"/>
      <c r="AE5" s="368"/>
      <c r="AF5" s="368"/>
      <c r="AG5" s="368"/>
      <c r="AH5" s="368"/>
      <c r="AI5" s="368"/>
      <c r="AJ5" s="368"/>
      <c r="AK5" s="368"/>
      <c r="AL5" s="318"/>
      <c r="AM5" s="205"/>
      <c r="AN5" s="205"/>
      <c r="AO5" s="205"/>
      <c r="AP5" s="298"/>
      <c r="AQ5" s="300"/>
      <c r="AR5" s="300"/>
      <c r="AS5" s="300"/>
      <c r="AT5" s="300"/>
    </row>
    <row r="6" spans="2:46" ht="82.5" x14ac:dyDescent="0.25">
      <c r="B6" s="354"/>
      <c r="C6" s="339"/>
      <c r="D6" s="390"/>
      <c r="E6" s="390"/>
      <c r="F6" s="390"/>
      <c r="G6" s="390"/>
      <c r="H6" s="390"/>
      <c r="I6" s="390"/>
      <c r="J6" s="390"/>
      <c r="K6" s="390"/>
      <c r="L6" s="187" t="s">
        <v>70</v>
      </c>
      <c r="M6" s="90" t="s">
        <v>119</v>
      </c>
      <c r="N6" s="90" t="str">
        <f>'Strategic level'!F36</f>
        <v>Աշխատուժի հետազոտության միկրոտվյալների բազա, Արմստատ</v>
      </c>
      <c r="O6" s="90" t="str">
        <f>'Strategic level'!G36</f>
        <v>Աշխատանքի թերօգտագործման ագրեգացված ցուցանիշի հարաբերությունը զբաղվածների թվաքանակին (մարզային քաղաքներ ներառող համայնքներ բնակչություն, 15-74 տարեկան)</v>
      </c>
      <c r="P6" s="147">
        <f>IF(ISBLANK('Strategic level'!H36)," ",'Strategic level'!H36)</f>
        <v>0.47087135813081299</v>
      </c>
      <c r="Q6" s="147" t="str">
        <f>IF(ISBLANK('Strategic level'!I36)," ",'Strategic level'!I36)</f>
        <v xml:space="preserve"> </v>
      </c>
      <c r="R6" s="147" t="str">
        <f>IF(ISBLANK('Strategic level'!J36)," ",'Strategic level'!J36)</f>
        <v xml:space="preserve"> </v>
      </c>
      <c r="S6" s="147">
        <f>IF(ISBLANK('Strategic level'!K36)," ",'Strategic level'!K36)</f>
        <v>0.3552208039494486</v>
      </c>
      <c r="T6" s="147">
        <f>IF(ISBLANK('Strategic level'!L36)," ",'Strategic level'!L36)</f>
        <v>0.28192539861600785</v>
      </c>
      <c r="U6" s="147">
        <f>IF(ISBLANK('Strategic level'!M36)," ",'Strategic level'!M36)</f>
        <v>0.30323757198304568</v>
      </c>
      <c r="V6" s="147">
        <f t="shared" si="4"/>
        <v>0.29005333280645568</v>
      </c>
      <c r="W6" s="147">
        <f>IF(ISBLANK('Strategic level'!O36)," ",'Strategic level'!O36)</f>
        <v>0.27686909362986567</v>
      </c>
      <c r="X6" s="147">
        <f>IF(ISBLANK('Strategic level'!P36)," ",'Strategic level'!P36)</f>
        <v>0.25198030047037379</v>
      </c>
      <c r="Y6" s="147">
        <f>IF(ISBLANK('Strategic level'!Q36)," ",'Strategic level'!Q36)</f>
        <v>0.2168087803712298</v>
      </c>
      <c r="Z6" s="147">
        <f>IF(ISBLANK('Strategic level'!R36)," ",'Strategic level'!R36)</f>
        <v>0.18288560483601329</v>
      </c>
      <c r="AA6" s="147">
        <f>IF(ISBLANK('Strategic level'!S36)," ",'Strategic level'!S36)</f>
        <v>0.15015629259236929</v>
      </c>
      <c r="AB6" s="147">
        <f>IF(ISBLANK('Strategic level'!T36)," ",'Strategic level'!T36)</f>
        <v>0.11856870870325525</v>
      </c>
      <c r="AC6" s="147">
        <f>IF(ISBLANK('Strategic level'!U36)," ",'Strategic level'!U36)</f>
        <v>8.8073065610763446E-2</v>
      </c>
      <c r="AD6" s="368"/>
      <c r="AE6" s="368"/>
      <c r="AF6" s="368"/>
      <c r="AG6" s="368"/>
      <c r="AH6" s="368"/>
      <c r="AI6" s="368"/>
      <c r="AJ6" s="368"/>
      <c r="AK6" s="368"/>
      <c r="AL6" s="318"/>
      <c r="AM6" s="205"/>
      <c r="AN6" s="205"/>
      <c r="AO6" s="205"/>
      <c r="AP6" s="298"/>
      <c r="AQ6" s="300"/>
      <c r="AR6" s="300"/>
      <c r="AS6" s="300"/>
      <c r="AT6" s="300"/>
    </row>
    <row r="7" spans="2:46" ht="99" x14ac:dyDescent="0.25">
      <c r="B7" s="354"/>
      <c r="C7" s="340"/>
      <c r="D7" s="391"/>
      <c r="E7" s="391"/>
      <c r="F7" s="391"/>
      <c r="G7" s="391"/>
      <c r="H7" s="391"/>
      <c r="I7" s="391"/>
      <c r="J7" s="391"/>
      <c r="K7" s="391"/>
      <c r="L7" s="187" t="s">
        <v>164</v>
      </c>
      <c r="M7" s="90" t="s">
        <v>165</v>
      </c>
      <c r="N7" s="90" t="str">
        <f>'Strategic level'!F42</f>
        <v>Աշխատանքի շուկան Հայաստանում, Արմստատ</v>
      </c>
      <c r="O7" s="90" t="str">
        <f>'Strategic level'!G42</f>
        <v>Միջին ամսական զուտ աշխատավարձը/եկամուտը (դրամական և/կամ բնաիրային) ոչ գյուղատնտեսական ոլորտներում (տնտեսական գործունեության տեսակների Հայաստանի դասակարգչի B-U խմբեր) (ՀՀ բնակչություն, 15-74 տարեկան)</v>
      </c>
      <c r="P7" s="208">
        <f>IF(ISBLANK('Strategic level'!H42)," ",'Strategic level'!H42)</f>
        <v>173391</v>
      </c>
      <c r="Q7" s="208">
        <f>IF(ISBLANK('Strategic level'!I42)," ",'Strategic level'!I42)</f>
        <v>183465.37803489558</v>
      </c>
      <c r="R7" s="208">
        <f>IF(ISBLANK('Strategic level'!J42)," ",'Strategic level'!J42)</f>
        <v>190673.80763772962</v>
      </c>
      <c r="S7" s="208">
        <f>IF(ISBLANK('Strategic level'!K42)," ",'Strategic level'!K42)</f>
        <v>205111.38147474569</v>
      </c>
      <c r="T7" s="208">
        <f>IF(ISBLANK('Strategic level'!L42)," ",'Strategic level'!L42)</f>
        <v>236862.44524498453</v>
      </c>
      <c r="U7" s="208">
        <f>IF(ISBLANK('Strategic level'!M42)," ",'Strategic level'!M42)</f>
        <v>259980.00493594623</v>
      </c>
      <c r="V7" s="208">
        <f>+(U7+W7)/2</f>
        <v>275578.80523210304</v>
      </c>
      <c r="W7" s="208">
        <f>IF(ISBLANK('Strategic level'!O42)," ",'Strategic level'!O42)</f>
        <v>291177.60552825982</v>
      </c>
      <c r="X7" s="208">
        <f>IF(ISBLANK('Strategic level'!P42)," ",'Strategic level'!P42)</f>
        <v>326118.91819165106</v>
      </c>
      <c r="Y7" s="208">
        <f>IF(ISBLANK('Strategic level'!Q42)," ",'Strategic level'!Q42)</f>
        <v>365253.18837464921</v>
      </c>
      <c r="Z7" s="208">
        <f>IF(ISBLANK('Strategic level'!R42)," ",'Strategic level'!R42)</f>
        <v>409083.57097960718</v>
      </c>
      <c r="AA7" s="208">
        <f>IF(ISBLANK('Strategic level'!S42)," ",'Strategic level'!S42)</f>
        <v>458173.59949716006</v>
      </c>
      <c r="AB7" s="208">
        <f>IF(ISBLANK('Strategic level'!T42)," ",'Strategic level'!T42)</f>
        <v>513154.43143681932</v>
      </c>
      <c r="AC7" s="208">
        <f>IF(ISBLANK('Strategic level'!U42)," ",'Strategic level'!U42)</f>
        <v>574732.96320923767</v>
      </c>
      <c r="AD7" s="369"/>
      <c r="AE7" s="369"/>
      <c r="AF7" s="369"/>
      <c r="AG7" s="369"/>
      <c r="AH7" s="369"/>
      <c r="AI7" s="369"/>
      <c r="AJ7" s="369"/>
      <c r="AK7" s="369"/>
      <c r="AL7" s="319"/>
      <c r="AM7" s="205"/>
      <c r="AN7" s="205"/>
      <c r="AO7" s="205"/>
      <c r="AP7" s="299"/>
      <c r="AQ7" s="300"/>
      <c r="AR7" s="300"/>
      <c r="AS7" s="300"/>
      <c r="AT7" s="300"/>
    </row>
    <row r="8" spans="2:46" ht="49.5" x14ac:dyDescent="0.25">
      <c r="B8" s="128" t="s">
        <v>8</v>
      </c>
      <c r="C8" s="209" t="s">
        <v>48</v>
      </c>
      <c r="D8" s="210"/>
      <c r="E8" s="211"/>
      <c r="F8" s="211"/>
      <c r="G8" s="211"/>
      <c r="H8" s="211"/>
      <c r="I8" s="211"/>
      <c r="J8" s="211"/>
      <c r="K8" s="211"/>
      <c r="L8" s="212"/>
      <c r="M8" s="112"/>
      <c r="N8" s="112"/>
      <c r="O8" s="112"/>
      <c r="P8" s="213"/>
      <c r="Q8" s="213"/>
      <c r="R8" s="213"/>
      <c r="S8" s="213"/>
      <c r="T8" s="214"/>
      <c r="U8" s="214"/>
      <c r="V8" s="214"/>
      <c r="W8" s="214"/>
      <c r="X8" s="214"/>
      <c r="Y8" s="214"/>
      <c r="Z8" s="214"/>
      <c r="AA8" s="214"/>
      <c r="AB8" s="214"/>
      <c r="AC8" s="214"/>
      <c r="AD8" s="215">
        <f>AD9+AD19+AD27+AD30+AD36</f>
        <v>0</v>
      </c>
      <c r="AE8" s="215">
        <f t="shared" ref="AE8:AJ8" si="5">AE9+AE19+AE27+AE30+AE36</f>
        <v>9893000</v>
      </c>
      <c r="AF8" s="215">
        <f t="shared" si="5"/>
        <v>15516000</v>
      </c>
      <c r="AG8" s="215">
        <f t="shared" si="5"/>
        <v>19334000</v>
      </c>
      <c r="AH8" s="215">
        <f t="shared" si="5"/>
        <v>25867000</v>
      </c>
      <c r="AI8" s="215">
        <f t="shared" si="5"/>
        <v>38552000</v>
      </c>
      <c r="AJ8" s="215">
        <f t="shared" si="5"/>
        <v>49773000</v>
      </c>
      <c r="AK8" s="215">
        <f>AK9+AK19+AK27+AK30+AK36</f>
        <v>158935000</v>
      </c>
      <c r="AL8" s="216" t="s">
        <v>1101</v>
      </c>
      <c r="AM8" s="205"/>
      <c r="AN8" s="205"/>
      <c r="AO8" s="205"/>
      <c r="AP8" s="205"/>
      <c r="AQ8" s="205"/>
      <c r="AR8" s="205"/>
      <c r="AS8" s="205"/>
      <c r="AT8" s="205"/>
    </row>
    <row r="9" spans="2:46" ht="148.5" x14ac:dyDescent="0.25">
      <c r="B9" s="187" t="s">
        <v>9</v>
      </c>
      <c r="C9" s="90" t="s">
        <v>341</v>
      </c>
      <c r="D9" s="190"/>
      <c r="E9" s="115"/>
      <c r="F9" s="115"/>
      <c r="G9" s="115"/>
      <c r="H9" s="115"/>
      <c r="I9" s="115"/>
      <c r="J9" s="115"/>
      <c r="K9" s="115"/>
      <c r="L9" s="114" t="s">
        <v>80</v>
      </c>
      <c r="M9" s="115" t="s">
        <v>366</v>
      </c>
      <c r="N9" s="115"/>
      <c r="O9" s="115" t="s">
        <v>248</v>
      </c>
      <c r="P9" s="140" t="s">
        <v>203</v>
      </c>
      <c r="Q9" s="140" t="s">
        <v>203</v>
      </c>
      <c r="R9" s="140" t="s">
        <v>203</v>
      </c>
      <c r="S9" s="140" t="s">
        <v>203</v>
      </c>
      <c r="T9" s="140" t="s">
        <v>203</v>
      </c>
      <c r="U9" s="127"/>
      <c r="V9" s="127"/>
      <c r="W9" s="127"/>
      <c r="X9" s="127">
        <f>(100*X14)/('Strategic level'!M41*1000)</f>
        <v>1.3207339969729691E-2</v>
      </c>
      <c r="Y9" s="127">
        <f>(100*Y14)/('Strategic level'!O41*1000)</f>
        <v>2.5381498959291173E-2</v>
      </c>
      <c r="Z9" s="127">
        <f>(100*Z14)/('Strategic level'!P41*1000)</f>
        <v>3.6284028355989761E-2</v>
      </c>
      <c r="AA9" s="127">
        <f>(100*AA14)/('Strategic level'!Q41*1000)</f>
        <v>5.0995750332236085E-2</v>
      </c>
      <c r="AB9" s="127">
        <f>(100*AB14)/('Strategic level'!R41*1000)</f>
        <v>7.0212165885094852E-2</v>
      </c>
      <c r="AC9" s="127">
        <f>(100*AC14)/('Strategic level'!S41*1000)</f>
        <v>8.2798076388725605E-2</v>
      </c>
      <c r="AD9" s="217">
        <f t="shared" ref="AD9:AJ9" si="6">AD11+AD12+AD13+AD14+AD15+AD16+AD18</f>
        <v>0</v>
      </c>
      <c r="AE9" s="217">
        <f t="shared" si="6"/>
        <v>979000</v>
      </c>
      <c r="AF9" s="217">
        <f t="shared" si="6"/>
        <v>1318000</v>
      </c>
      <c r="AG9" s="217">
        <f t="shared" si="6"/>
        <v>1545000</v>
      </c>
      <c r="AH9" s="217">
        <f t="shared" si="6"/>
        <v>1932000</v>
      </c>
      <c r="AI9" s="217">
        <f t="shared" si="6"/>
        <v>2266000</v>
      </c>
      <c r="AJ9" s="217">
        <f t="shared" si="6"/>
        <v>2566000</v>
      </c>
      <c r="AK9" s="217">
        <f>AK11+AK12+AK13+AK14+AK15+AK16+AK18</f>
        <v>10606000</v>
      </c>
      <c r="AL9" s="201" t="s">
        <v>388</v>
      </c>
      <c r="AM9" s="205"/>
      <c r="AN9" s="205"/>
      <c r="AO9" s="205"/>
      <c r="AP9" s="205"/>
      <c r="AQ9" s="205"/>
      <c r="AR9" s="205"/>
      <c r="AS9" s="205"/>
      <c r="AT9" s="205"/>
    </row>
    <row r="10" spans="2:46" x14ac:dyDescent="0.25">
      <c r="B10" s="128"/>
      <c r="C10" s="209" t="s">
        <v>49</v>
      </c>
      <c r="D10" s="210"/>
      <c r="E10" s="211"/>
      <c r="F10" s="211"/>
      <c r="G10" s="211"/>
      <c r="H10" s="211"/>
      <c r="I10" s="211"/>
      <c r="J10" s="211"/>
      <c r="K10" s="211"/>
      <c r="L10" s="210"/>
      <c r="M10" s="211"/>
      <c r="N10" s="211"/>
      <c r="O10" s="211"/>
      <c r="P10" s="214"/>
      <c r="Q10" s="214"/>
      <c r="R10" s="214"/>
      <c r="S10" s="214"/>
      <c r="T10" s="214"/>
      <c r="U10" s="214"/>
      <c r="V10" s="214"/>
      <c r="W10" s="214"/>
      <c r="X10" s="214"/>
      <c r="Y10" s="214"/>
      <c r="Z10" s="214"/>
      <c r="AA10" s="214"/>
      <c r="AB10" s="214"/>
      <c r="AC10" s="214"/>
      <c r="AD10" s="211"/>
      <c r="AE10" s="112"/>
      <c r="AF10" s="112"/>
      <c r="AG10" s="112"/>
      <c r="AH10" s="112"/>
      <c r="AI10" s="112"/>
      <c r="AJ10" s="113"/>
      <c r="AK10" s="113"/>
      <c r="AL10" s="216"/>
      <c r="AM10" s="205"/>
      <c r="AN10" s="205"/>
      <c r="AO10" s="205"/>
      <c r="AP10" s="205"/>
      <c r="AQ10" s="205"/>
      <c r="AR10" s="205"/>
      <c r="AS10" s="205"/>
      <c r="AT10" s="205"/>
    </row>
    <row r="11" spans="2:46" ht="342" customHeight="1" x14ac:dyDescent="0.25">
      <c r="B11" s="184" t="s">
        <v>12</v>
      </c>
      <c r="C11" s="126" t="s">
        <v>342</v>
      </c>
      <c r="D11" s="181" t="s">
        <v>738</v>
      </c>
      <c r="E11" s="126"/>
      <c r="F11" s="133"/>
      <c r="G11" s="133"/>
      <c r="H11" s="133"/>
      <c r="I11" s="133"/>
      <c r="J11" s="133"/>
      <c r="K11" s="133"/>
      <c r="L11" s="117" t="s">
        <v>78</v>
      </c>
      <c r="M11" s="118" t="s">
        <v>250</v>
      </c>
      <c r="N11" s="218"/>
      <c r="O11" s="118" t="s">
        <v>249</v>
      </c>
      <c r="P11" s="165" t="s">
        <v>203</v>
      </c>
      <c r="Q11" s="165" t="s">
        <v>203</v>
      </c>
      <c r="R11" s="165" t="s">
        <v>203</v>
      </c>
      <c r="S11" s="151" t="s">
        <v>328</v>
      </c>
      <c r="T11" s="151"/>
      <c r="U11" s="134"/>
      <c r="V11" s="134"/>
      <c r="W11" s="134"/>
      <c r="X11" s="134">
        <v>0.1</v>
      </c>
      <c r="Y11" s="134">
        <v>0.15</v>
      </c>
      <c r="Z11" s="134">
        <v>0.2</v>
      </c>
      <c r="AA11" s="134">
        <v>0.25</v>
      </c>
      <c r="AB11" s="134">
        <v>0.3</v>
      </c>
      <c r="AC11" s="134">
        <v>0.35</v>
      </c>
      <c r="AD11" s="219"/>
      <c r="AE11" s="219">
        <f>Variables!C3*(X12-W12)</f>
        <v>20000</v>
      </c>
      <c r="AF11" s="219">
        <f>Variables!C3*(Y12-X12)</f>
        <v>60000</v>
      </c>
      <c r="AG11" s="219">
        <f>Variables!C3*(Z12-Y12)</f>
        <v>60000</v>
      </c>
      <c r="AH11" s="219">
        <f>Variables!C3*(AA12-Z12)</f>
        <v>100000</v>
      </c>
      <c r="AI11" s="219">
        <f>Variables!C3*(AB12-AA12)</f>
        <v>120000</v>
      </c>
      <c r="AJ11" s="219">
        <f>Variables!C3*(AC12-AB12)</f>
        <v>120000</v>
      </c>
      <c r="AK11" s="219">
        <f>SUM(AD11:AJ11)</f>
        <v>480000</v>
      </c>
      <c r="AL11" s="130" t="s">
        <v>1106</v>
      </c>
      <c r="AM11" s="205"/>
      <c r="AN11" s="205"/>
      <c r="AO11" s="205"/>
      <c r="AP11" s="205"/>
      <c r="AQ11" s="205"/>
      <c r="AR11" s="205"/>
      <c r="AS11" s="205"/>
      <c r="AT11" s="205"/>
    </row>
    <row r="12" spans="2:46" ht="391.5" customHeight="1" x14ac:dyDescent="0.25">
      <c r="B12" s="184" t="s">
        <v>13</v>
      </c>
      <c r="C12" s="220" t="s">
        <v>1062</v>
      </c>
      <c r="D12" s="181" t="s">
        <v>738</v>
      </c>
      <c r="E12" s="220"/>
      <c r="F12" s="221"/>
      <c r="G12" s="221"/>
      <c r="H12" s="221"/>
      <c r="I12" s="221"/>
      <c r="J12" s="221"/>
      <c r="K12" s="221"/>
      <c r="L12" s="117" t="s">
        <v>79</v>
      </c>
      <c r="M12" s="118" t="s">
        <v>252</v>
      </c>
      <c r="N12" s="218"/>
      <c r="O12" s="118" t="s">
        <v>251</v>
      </c>
      <c r="P12" s="165" t="s">
        <v>203</v>
      </c>
      <c r="Q12" s="165" t="s">
        <v>203</v>
      </c>
      <c r="R12" s="165" t="s">
        <v>203</v>
      </c>
      <c r="S12" s="165" t="s">
        <v>203</v>
      </c>
      <c r="T12" s="165" t="s">
        <v>203</v>
      </c>
      <c r="U12" s="134"/>
      <c r="V12" s="134"/>
      <c r="W12" s="222"/>
      <c r="X12" s="222">
        <f>X71+X72</f>
        <v>1</v>
      </c>
      <c r="Y12" s="222">
        <f t="shared" ref="Y12:AC12" si="7">Y71+Y72</f>
        <v>4</v>
      </c>
      <c r="Z12" s="222">
        <f t="shared" si="7"/>
        <v>7</v>
      </c>
      <c r="AA12" s="222">
        <f t="shared" si="7"/>
        <v>12</v>
      </c>
      <c r="AB12" s="222">
        <f t="shared" si="7"/>
        <v>18</v>
      </c>
      <c r="AC12" s="222">
        <f t="shared" si="7"/>
        <v>24</v>
      </c>
      <c r="AD12" s="219"/>
      <c r="AE12" s="219">
        <f>ROUND(Variables!C4*1.04^1*(X12-W12),-3)</f>
        <v>42000</v>
      </c>
      <c r="AF12" s="219">
        <f>ROUND(Variables!C4*1.04^2*(Y12-X12),-3)</f>
        <v>130000</v>
      </c>
      <c r="AG12" s="219">
        <f>ROUND(Variables!C4*1.04^3*(Z12-Y12),-3)</f>
        <v>135000</v>
      </c>
      <c r="AH12" s="219">
        <f>ROUND(Variables!C4*1.04^4*(AA12-Z12),-3)</f>
        <v>234000</v>
      </c>
      <c r="AI12" s="219">
        <f>ROUND(Variables!C4*1.04^5*(AB12-AA12),-3)</f>
        <v>292000</v>
      </c>
      <c r="AJ12" s="219">
        <f>ROUND(Variables!C4*1.04^6*(AC12-AB12),-3)</f>
        <v>304000</v>
      </c>
      <c r="AK12" s="219">
        <f>SUM(AD12:AJ12)</f>
        <v>1137000</v>
      </c>
      <c r="AL12" s="130" t="s">
        <v>392</v>
      </c>
      <c r="AM12" s="205"/>
      <c r="AN12" s="205"/>
      <c r="AO12" s="205"/>
      <c r="AP12" s="205"/>
      <c r="AQ12" s="205"/>
      <c r="AR12" s="205"/>
      <c r="AS12" s="205"/>
      <c r="AT12" s="205"/>
    </row>
    <row r="13" spans="2:46" ht="407.25" customHeight="1" x14ac:dyDescent="0.25">
      <c r="B13" s="184" t="s">
        <v>31</v>
      </c>
      <c r="C13" s="126" t="s">
        <v>1063</v>
      </c>
      <c r="D13" s="181" t="s">
        <v>738</v>
      </c>
      <c r="E13" s="126"/>
      <c r="F13" s="133"/>
      <c r="G13" s="133"/>
      <c r="H13" s="133"/>
      <c r="I13" s="133"/>
      <c r="J13" s="133"/>
      <c r="K13" s="133"/>
      <c r="L13" s="117" t="s">
        <v>81</v>
      </c>
      <c r="M13" s="118" t="s">
        <v>253</v>
      </c>
      <c r="N13" s="218"/>
      <c r="O13" s="118" t="s">
        <v>254</v>
      </c>
      <c r="P13" s="165" t="s">
        <v>203</v>
      </c>
      <c r="Q13" s="165" t="s">
        <v>203</v>
      </c>
      <c r="R13" s="165" t="s">
        <v>203</v>
      </c>
      <c r="S13" s="165" t="s">
        <v>203</v>
      </c>
      <c r="T13" s="165" t="s">
        <v>203</v>
      </c>
      <c r="U13" s="134"/>
      <c r="V13" s="134"/>
      <c r="W13" s="134"/>
      <c r="X13" s="134">
        <v>0.15</v>
      </c>
      <c r="Y13" s="134">
        <v>0.2</v>
      </c>
      <c r="Z13" s="134">
        <v>0.25</v>
      </c>
      <c r="AA13" s="134">
        <v>0.3</v>
      </c>
      <c r="AB13" s="134">
        <v>0.35</v>
      </c>
      <c r="AC13" s="134">
        <v>0.4</v>
      </c>
      <c r="AD13" s="219"/>
      <c r="AE13" s="219">
        <f>ROUND((X12-W12)*Variables!C5*Variables!C6*1.04^1,-3)</f>
        <v>6000</v>
      </c>
      <c r="AF13" s="219">
        <f>ROUND((Y12-X12)*Variables!C5*Variables!C6*1.04^2,-3)</f>
        <v>19000</v>
      </c>
      <c r="AG13" s="219">
        <f>ROUND((Z12-Y12)*Variables!C5*Variables!C6*1.04^3,-3)</f>
        <v>20000</v>
      </c>
      <c r="AH13" s="219">
        <f>ROUND((AA12-Z12)*Variables!C5*Variables!C6*1.04^4,-3)</f>
        <v>35000</v>
      </c>
      <c r="AI13" s="219">
        <f>ROUND((AB12-AA12)*Variables!C5*Variables!C6*1.04^5,-3)</f>
        <v>44000</v>
      </c>
      <c r="AJ13" s="219">
        <f>ROUND((AC12-AB12)*Variables!C5*Variables!C6*1.04^6,-3)</f>
        <v>46000</v>
      </c>
      <c r="AK13" s="219">
        <f>SUM(AD13:AJ13)</f>
        <v>170000</v>
      </c>
      <c r="AL13" s="130" t="s">
        <v>399</v>
      </c>
      <c r="AM13" s="205"/>
      <c r="AN13" s="205"/>
      <c r="AO13" s="205"/>
      <c r="AP13" s="205"/>
      <c r="AQ13" s="205"/>
      <c r="AR13" s="205"/>
      <c r="AS13" s="205"/>
      <c r="AT13" s="205"/>
    </row>
    <row r="14" spans="2:46" ht="66" x14ac:dyDescent="0.25">
      <c r="B14" s="358" t="s">
        <v>32</v>
      </c>
      <c r="C14" s="335" t="s">
        <v>1011</v>
      </c>
      <c r="D14" s="303" t="s">
        <v>738</v>
      </c>
      <c r="E14" s="303"/>
      <c r="F14" s="223"/>
      <c r="G14" s="223"/>
      <c r="H14" s="223"/>
      <c r="I14" s="223"/>
      <c r="J14" s="223"/>
      <c r="K14" s="223"/>
      <c r="L14" s="117" t="s">
        <v>82</v>
      </c>
      <c r="M14" s="118" t="s">
        <v>255</v>
      </c>
      <c r="N14" s="218"/>
      <c r="O14" s="118" t="s">
        <v>385</v>
      </c>
      <c r="P14" s="165" t="s">
        <v>203</v>
      </c>
      <c r="Q14" s="165" t="s">
        <v>203</v>
      </c>
      <c r="R14" s="165" t="s">
        <v>203</v>
      </c>
      <c r="S14" s="165" t="s">
        <v>203</v>
      </c>
      <c r="T14" s="165" t="s">
        <v>203</v>
      </c>
      <c r="U14" s="134"/>
      <c r="V14" s="134"/>
      <c r="W14" s="222"/>
      <c r="X14" s="222">
        <v>25</v>
      </c>
      <c r="Y14" s="222">
        <v>45</v>
      </c>
      <c r="Z14" s="222">
        <v>60</v>
      </c>
      <c r="AA14" s="222">
        <v>75</v>
      </c>
      <c r="AB14" s="222">
        <v>90</v>
      </c>
      <c r="AC14" s="222">
        <v>90</v>
      </c>
      <c r="AD14" s="297"/>
      <c r="AE14" s="297">
        <f>Variables!C7*X16</f>
        <v>100000</v>
      </c>
      <c r="AF14" s="297">
        <f>Variables!C7*Y16</f>
        <v>200000</v>
      </c>
      <c r="AG14" s="297">
        <f>Variables!C7*Z16</f>
        <v>250000</v>
      </c>
      <c r="AH14" s="297">
        <f>Variables!C7*AA16</f>
        <v>300000</v>
      </c>
      <c r="AI14" s="297">
        <f>Variables!C7*AB16</f>
        <v>350000</v>
      </c>
      <c r="AJ14" s="297">
        <f>Variables!C7*AC16</f>
        <v>350000</v>
      </c>
      <c r="AK14" s="297">
        <f>SUM(AD14:AJ16)</f>
        <v>1550000</v>
      </c>
      <c r="AL14" s="370" t="s">
        <v>711</v>
      </c>
      <c r="AM14" s="205"/>
      <c r="AN14" s="205"/>
      <c r="AO14" s="205"/>
      <c r="AP14" s="301">
        <f>ROUND(AJ14*1.04,-3)</f>
        <v>364000</v>
      </c>
      <c r="AQ14" s="301">
        <f>ROUND(AP14*1.04,-3)</f>
        <v>379000</v>
      </c>
      <c r="AR14" s="301">
        <f t="shared" ref="AR14:AT14" si="8">ROUND(AQ14*1.04,-3)</f>
        <v>394000</v>
      </c>
      <c r="AS14" s="301">
        <f t="shared" si="8"/>
        <v>410000</v>
      </c>
      <c r="AT14" s="301">
        <f t="shared" si="8"/>
        <v>426000</v>
      </c>
    </row>
    <row r="15" spans="2:46" ht="99" x14ac:dyDescent="0.25">
      <c r="B15" s="358"/>
      <c r="C15" s="336"/>
      <c r="D15" s="304"/>
      <c r="E15" s="304"/>
      <c r="F15" s="224"/>
      <c r="G15" s="224"/>
      <c r="H15" s="224"/>
      <c r="I15" s="224"/>
      <c r="J15" s="224"/>
      <c r="K15" s="224"/>
      <c r="L15" s="117" t="s">
        <v>155</v>
      </c>
      <c r="M15" s="118" t="s">
        <v>256</v>
      </c>
      <c r="N15" s="118"/>
      <c r="O15" s="118" t="s">
        <v>257</v>
      </c>
      <c r="P15" s="165" t="s">
        <v>203</v>
      </c>
      <c r="Q15" s="165" t="s">
        <v>203</v>
      </c>
      <c r="R15" s="165" t="s">
        <v>203</v>
      </c>
      <c r="S15" s="165" t="s">
        <v>203</v>
      </c>
      <c r="T15" s="165" t="s">
        <v>203</v>
      </c>
      <c r="U15" s="134"/>
      <c r="V15" s="134"/>
      <c r="W15" s="134"/>
      <c r="X15" s="134">
        <v>0.3</v>
      </c>
      <c r="Y15" s="134">
        <v>0.5</v>
      </c>
      <c r="Z15" s="134">
        <v>0.5</v>
      </c>
      <c r="AA15" s="134">
        <v>0.7</v>
      </c>
      <c r="AB15" s="134">
        <v>0.7</v>
      </c>
      <c r="AC15" s="134">
        <v>0.7</v>
      </c>
      <c r="AD15" s="298"/>
      <c r="AE15" s="298"/>
      <c r="AF15" s="298"/>
      <c r="AG15" s="298"/>
      <c r="AH15" s="298"/>
      <c r="AI15" s="298"/>
      <c r="AJ15" s="298"/>
      <c r="AK15" s="298"/>
      <c r="AL15" s="371"/>
      <c r="AM15" s="205"/>
      <c r="AN15" s="205"/>
      <c r="AO15" s="205"/>
      <c r="AP15" s="302"/>
      <c r="AQ15" s="302"/>
      <c r="AR15" s="302"/>
      <c r="AS15" s="302"/>
      <c r="AT15" s="302"/>
    </row>
    <row r="16" spans="2:46" ht="33" x14ac:dyDescent="0.25">
      <c r="B16" s="358"/>
      <c r="C16" s="337"/>
      <c r="D16" s="305"/>
      <c r="E16" s="305"/>
      <c r="F16" s="225"/>
      <c r="G16" s="225"/>
      <c r="H16" s="225"/>
      <c r="I16" s="225"/>
      <c r="J16" s="225"/>
      <c r="K16" s="225"/>
      <c r="L16" s="117" t="s">
        <v>158</v>
      </c>
      <c r="M16" s="118" t="s">
        <v>258</v>
      </c>
      <c r="N16" s="218"/>
      <c r="O16" s="118" t="s">
        <v>259</v>
      </c>
      <c r="P16" s="165" t="s">
        <v>203</v>
      </c>
      <c r="Q16" s="165" t="s">
        <v>203</v>
      </c>
      <c r="R16" s="165" t="s">
        <v>203</v>
      </c>
      <c r="S16" s="165" t="s">
        <v>203</v>
      </c>
      <c r="T16" s="165" t="s">
        <v>203</v>
      </c>
      <c r="U16" s="134"/>
      <c r="V16" s="134"/>
      <c r="W16" s="134"/>
      <c r="X16" s="222">
        <v>2</v>
      </c>
      <c r="Y16" s="222">
        <f>ROUND(X16*Y14/X14,0)</f>
        <v>4</v>
      </c>
      <c r="Z16" s="222">
        <f t="shared" ref="Z16:AC16" si="9">ROUND(Y16*Z14/Y14,0)</f>
        <v>5</v>
      </c>
      <c r="AA16" s="222">
        <f t="shared" si="9"/>
        <v>6</v>
      </c>
      <c r="AB16" s="222">
        <f t="shared" si="9"/>
        <v>7</v>
      </c>
      <c r="AC16" s="222">
        <f t="shared" si="9"/>
        <v>7</v>
      </c>
      <c r="AD16" s="299"/>
      <c r="AE16" s="299"/>
      <c r="AF16" s="299"/>
      <c r="AG16" s="299"/>
      <c r="AH16" s="299"/>
      <c r="AI16" s="299"/>
      <c r="AJ16" s="299"/>
      <c r="AK16" s="299"/>
      <c r="AL16" s="372"/>
      <c r="AM16" s="205"/>
      <c r="AN16" s="205"/>
      <c r="AO16" s="205"/>
      <c r="AP16" s="302"/>
      <c r="AQ16" s="302"/>
      <c r="AR16" s="302"/>
      <c r="AS16" s="302"/>
      <c r="AT16" s="302"/>
    </row>
    <row r="17" spans="2:46" x14ac:dyDescent="0.25">
      <c r="B17" s="128"/>
      <c r="C17" s="209" t="s">
        <v>50</v>
      </c>
      <c r="D17" s="210"/>
      <c r="E17" s="211"/>
      <c r="F17" s="211"/>
      <c r="G17" s="211"/>
      <c r="H17" s="211"/>
      <c r="I17" s="211"/>
      <c r="J17" s="211"/>
      <c r="K17" s="211"/>
      <c r="L17" s="210"/>
      <c r="M17" s="211"/>
      <c r="N17" s="211"/>
      <c r="O17" s="211"/>
      <c r="P17" s="214"/>
      <c r="Q17" s="214"/>
      <c r="R17" s="214"/>
      <c r="S17" s="214"/>
      <c r="T17" s="214"/>
      <c r="U17" s="214"/>
      <c r="V17" s="214"/>
      <c r="W17" s="214"/>
      <c r="X17" s="214"/>
      <c r="Y17" s="214"/>
      <c r="Z17" s="214"/>
      <c r="AA17" s="214"/>
      <c r="AB17" s="214"/>
      <c r="AC17" s="214"/>
      <c r="AD17" s="211"/>
      <c r="AE17" s="112"/>
      <c r="AF17" s="112"/>
      <c r="AG17" s="112"/>
      <c r="AH17" s="112"/>
      <c r="AI17" s="112"/>
      <c r="AJ17" s="113"/>
      <c r="AK17" s="113"/>
      <c r="AL17" s="216"/>
      <c r="AM17" s="205"/>
      <c r="AN17" s="205"/>
      <c r="AO17" s="205"/>
      <c r="AP17" s="205"/>
      <c r="AQ17" s="205"/>
      <c r="AR17" s="205"/>
      <c r="AS17" s="205"/>
      <c r="AT17" s="205"/>
    </row>
    <row r="18" spans="2:46" ht="224.25" customHeight="1" x14ac:dyDescent="0.25">
      <c r="B18" s="176" t="s">
        <v>33</v>
      </c>
      <c r="C18" s="174" t="s">
        <v>1066</v>
      </c>
      <c r="D18" s="64" t="s">
        <v>736</v>
      </c>
      <c r="E18" s="118"/>
      <c r="F18" s="133"/>
      <c r="G18" s="133"/>
      <c r="H18" s="133"/>
      <c r="I18" s="133"/>
      <c r="J18" s="133"/>
      <c r="K18" s="133"/>
      <c r="L18" s="184" t="s">
        <v>83</v>
      </c>
      <c r="M18" s="118" t="s">
        <v>260</v>
      </c>
      <c r="N18" s="218"/>
      <c r="O18" s="118" t="s">
        <v>261</v>
      </c>
      <c r="P18" s="165" t="s">
        <v>203</v>
      </c>
      <c r="Q18" s="165" t="s">
        <v>203</v>
      </c>
      <c r="R18" s="165" t="s">
        <v>203</v>
      </c>
      <c r="S18" s="165" t="s">
        <v>203</v>
      </c>
      <c r="T18" s="165" t="s">
        <v>203</v>
      </c>
      <c r="U18" s="134"/>
      <c r="V18" s="134"/>
      <c r="W18" s="135"/>
      <c r="X18" s="135">
        <f>ROUND(X34*'Strategic level'!O11/'Strategic level'!P11,-3)</f>
        <v>13000</v>
      </c>
      <c r="Y18" s="135">
        <f>ROUND(X18*'Strategic level'!P11/'Strategic level'!Q11,-3)</f>
        <v>14000</v>
      </c>
      <c r="Z18" s="135">
        <f>ROUND(Y18*'Strategic level'!Q11/'Strategic level'!R11,-3)</f>
        <v>16000</v>
      </c>
      <c r="AA18" s="135">
        <f>ROUND(Z18*'Strategic level'!R11/'Strategic level'!S11,-3)</f>
        <v>18000</v>
      </c>
      <c r="AB18" s="135">
        <f>ROUND(AA18*'Strategic level'!S11/'Strategic level'!T11,-3)</f>
        <v>20000</v>
      </c>
      <c r="AC18" s="135">
        <f>ROUND(AB18*'Strategic level'!T11/'Strategic level'!U11,-3)</f>
        <v>23000</v>
      </c>
      <c r="AD18" s="219"/>
      <c r="AE18" s="219">
        <f>ROUND(X18*Variables!C8*1.04^1,-3)</f>
        <v>811000</v>
      </c>
      <c r="AF18" s="219">
        <f>ROUND(Y18*Variables!C8*1.04^2,-3)</f>
        <v>909000</v>
      </c>
      <c r="AG18" s="219">
        <f>ROUND(Z18*Variables!C8*1.04^3,-3)</f>
        <v>1080000</v>
      </c>
      <c r="AH18" s="219">
        <f>ROUND(AA18*Variables!C8*1.04^4,-3)</f>
        <v>1263000</v>
      </c>
      <c r="AI18" s="219">
        <f>ROUND(AB18*Variables!C8*1.04^5,-3)</f>
        <v>1460000</v>
      </c>
      <c r="AJ18" s="219">
        <f>ROUND(AC18*Variables!C8*1.04^6,-3)</f>
        <v>1746000</v>
      </c>
      <c r="AK18" s="219">
        <f>SUM(AD18:AJ18)</f>
        <v>7269000</v>
      </c>
      <c r="AL18" s="130" t="s">
        <v>393</v>
      </c>
      <c r="AM18" s="205"/>
      <c r="AN18" s="205"/>
      <c r="AO18" s="205"/>
      <c r="AP18" s="219">
        <f>ROUND(AJ18*1.04,-3)</f>
        <v>1816000</v>
      </c>
      <c r="AQ18" s="226">
        <f>ROUND(AP18*1.04,-3)</f>
        <v>1889000</v>
      </c>
      <c r="AR18" s="226">
        <f t="shared" ref="AR18:AT18" si="10">ROUND(AQ18*1.04,-3)</f>
        <v>1965000</v>
      </c>
      <c r="AS18" s="226">
        <f t="shared" si="10"/>
        <v>2044000</v>
      </c>
      <c r="AT18" s="226">
        <f t="shared" si="10"/>
        <v>2126000</v>
      </c>
    </row>
    <row r="19" spans="2:46" ht="115.5" x14ac:dyDescent="0.25">
      <c r="B19" s="354" t="s">
        <v>10</v>
      </c>
      <c r="C19" s="338" t="s">
        <v>51</v>
      </c>
      <c r="D19" s="309"/>
      <c r="E19" s="309"/>
      <c r="F19" s="309"/>
      <c r="G19" s="309"/>
      <c r="H19" s="309"/>
      <c r="I19" s="309"/>
      <c r="J19" s="309"/>
      <c r="K19" s="309"/>
      <c r="L19" s="114" t="s">
        <v>84</v>
      </c>
      <c r="M19" s="115" t="s">
        <v>262</v>
      </c>
      <c r="N19" s="115" t="s">
        <v>206</v>
      </c>
      <c r="O19" s="115" t="s">
        <v>263</v>
      </c>
      <c r="P19" s="127">
        <f>IF(ISERR((P20-P21)/P20)," ",((P20-P21)/P20))</f>
        <v>0.49481017690320017</v>
      </c>
      <c r="Q19" s="127" t="str">
        <f>IF(ISERR((Q20-Q21)/Q20)," ",((Q20-Q21)/Q20))</f>
        <v xml:space="preserve"> </v>
      </c>
      <c r="R19" s="127" t="str">
        <f>IF(ISERR((R20-R21)/R20)," ",((R20-R21)/R20))</f>
        <v xml:space="preserve"> </v>
      </c>
      <c r="S19" s="127">
        <f>IF(ISERR((S20-S21)/S20)," ",((S20-S21)/S20))</f>
        <v>0.55143406927283778</v>
      </c>
      <c r="T19" s="127">
        <f>IF(ISERR((T20-T21)/T20)," ",((T20-T21)/T20))</f>
        <v>0.49243978210911565</v>
      </c>
      <c r="U19" s="347">
        <f>T19*(1+_xlfn.RRI(4,$P$19,$T$19))</f>
        <v>0.4918489598225031</v>
      </c>
      <c r="V19" s="350">
        <f>+(U19+W19)/2</f>
        <v>0.49155390310930891</v>
      </c>
      <c r="W19" s="347">
        <f>U19*(1+_xlfn.RRI(4,$P$19,$T$19))</f>
        <v>0.49125884639611472</v>
      </c>
      <c r="X19" s="347">
        <f>W19*'Strategic level'!O35/'Strategic level'!M35</f>
        <v>0.50945796007136301</v>
      </c>
      <c r="Y19" s="347">
        <f>X19*'Strategic level'!P35/'Strategic level'!O35</f>
        <v>0.52739256087348485</v>
      </c>
      <c r="Z19" s="347">
        <f>Y19*'Strategic level'!Q35/'Strategic level'!P35</f>
        <v>0.552322883685747</v>
      </c>
      <c r="AA19" s="347">
        <f>Z19*'Strategic level'!R35/'Strategic level'!Q35</f>
        <v>0.57776283045514742</v>
      </c>
      <c r="AB19" s="347">
        <f>AA19*'Strategic level'!S35/'Strategic level'!R35</f>
        <v>0.60372460643531944</v>
      </c>
      <c r="AC19" s="347">
        <f>AB19*'Strategic level'!T35/'Strategic level'!S35</f>
        <v>0.63022056232129564</v>
      </c>
      <c r="AD19" s="320">
        <f>AD23+AD24+AD25+AD26</f>
        <v>0</v>
      </c>
      <c r="AE19" s="320">
        <f>AE23+AE24+AE25+AE26</f>
        <v>3443000</v>
      </c>
      <c r="AF19" s="320">
        <f t="shared" ref="AF19:AJ19" si="11">AF23+AF24+AF25+AF26</f>
        <v>4574000</v>
      </c>
      <c r="AG19" s="320">
        <f t="shared" si="11"/>
        <v>6085000</v>
      </c>
      <c r="AH19" s="320">
        <f t="shared" si="11"/>
        <v>9021000</v>
      </c>
      <c r="AI19" s="320">
        <f t="shared" si="11"/>
        <v>12042000</v>
      </c>
      <c r="AJ19" s="320">
        <f t="shared" si="11"/>
        <v>15986000</v>
      </c>
      <c r="AK19" s="320">
        <f t="shared" ref="AK19" si="12">AK23+AK24+AK25+AK26</f>
        <v>51151000</v>
      </c>
      <c r="AL19" s="317" t="s">
        <v>388</v>
      </c>
      <c r="AM19" s="205"/>
      <c r="AN19" s="205"/>
      <c r="AO19" s="205"/>
      <c r="AP19" s="205"/>
      <c r="AQ19" s="205"/>
      <c r="AR19" s="205"/>
      <c r="AS19" s="205"/>
      <c r="AT19" s="205"/>
    </row>
    <row r="20" spans="2:46" ht="33" x14ac:dyDescent="0.25">
      <c r="B20" s="354"/>
      <c r="C20" s="339"/>
      <c r="D20" s="310"/>
      <c r="E20" s="310"/>
      <c r="F20" s="310"/>
      <c r="G20" s="310"/>
      <c r="H20" s="310"/>
      <c r="I20" s="310"/>
      <c r="J20" s="310"/>
      <c r="K20" s="310"/>
      <c r="L20" s="184"/>
      <c r="M20" s="126" t="str">
        <f>'Strategic level'!E18</f>
        <v>Զբաղվածներ - գյուղ, 1000 մարդ, 15-74 տարեկան</v>
      </c>
      <c r="N20" s="126" t="str">
        <f>'Strategic level'!F18</f>
        <v>Արմստատբանկ, Արմստատ</v>
      </c>
      <c r="O20" s="126"/>
      <c r="P20" s="227">
        <f>IF(ISBLANK('Strategic level'!H18)," ",'Strategic level'!H18)</f>
        <v>503.1</v>
      </c>
      <c r="Q20" s="227">
        <f>IF(ISBLANK('Strategic level'!I18)," ",'Strategic level'!I18)</f>
        <v>451.1</v>
      </c>
      <c r="R20" s="227">
        <f>IF(ISBLANK('Strategic level'!J18)," ",'Strategic level'!J18)</f>
        <v>452.7</v>
      </c>
      <c r="S20" s="227">
        <f>IF(ISBLANK('Strategic level'!K18)," ",'Strategic level'!K18)</f>
        <v>493.7</v>
      </c>
      <c r="T20" s="227">
        <f>IF(ISBLANK('Strategic level'!L18)," ",'Strategic level'!L18)</f>
        <v>469.96</v>
      </c>
      <c r="U20" s="348"/>
      <c r="V20" s="351"/>
      <c r="W20" s="348"/>
      <c r="X20" s="348"/>
      <c r="Y20" s="348"/>
      <c r="Z20" s="348"/>
      <c r="AA20" s="348"/>
      <c r="AB20" s="348"/>
      <c r="AC20" s="348"/>
      <c r="AD20" s="321"/>
      <c r="AE20" s="321"/>
      <c r="AF20" s="321"/>
      <c r="AG20" s="321"/>
      <c r="AH20" s="321"/>
      <c r="AI20" s="321"/>
      <c r="AJ20" s="321"/>
      <c r="AK20" s="321"/>
      <c r="AL20" s="318"/>
      <c r="AM20" s="205"/>
      <c r="AN20" s="205"/>
      <c r="AO20" s="205"/>
      <c r="AP20" s="205"/>
      <c r="AQ20" s="205"/>
      <c r="AR20" s="205"/>
      <c r="AS20" s="205"/>
      <c r="AT20" s="205"/>
    </row>
    <row r="21" spans="2:46" ht="49.5" x14ac:dyDescent="0.25">
      <c r="B21" s="354"/>
      <c r="C21" s="339"/>
      <c r="D21" s="310"/>
      <c r="E21" s="310"/>
      <c r="F21" s="310"/>
      <c r="G21" s="310"/>
      <c r="H21" s="310"/>
      <c r="I21" s="310"/>
      <c r="J21" s="310"/>
      <c r="K21" s="310"/>
      <c r="L21" s="184"/>
      <c r="M21" s="126" t="str">
        <f>'Strategic level'!E29</f>
        <v>Զբաղվածներ - գյուղ - գյուղատնտեսություն, 1000 մարդ, 15-74</v>
      </c>
      <c r="N21" s="126" t="str">
        <f>'Strategic level'!F29</f>
        <v>Աշխատուժի հետազոտության միկրոտվյալների բազա, Արմստատ</v>
      </c>
      <c r="O21" s="126"/>
      <c r="P21" s="228">
        <f>IF(ISBLANK('Strategic level'!H29)," ",'Strategic level'!H29)</f>
        <v>254.161</v>
      </c>
      <c r="Q21" s="228" t="str">
        <f>IF(ISBLANK('Strategic level'!I29)," ",'Strategic level'!I29)</f>
        <v xml:space="preserve"> </v>
      </c>
      <c r="R21" s="228" t="str">
        <f>IF(ISBLANK('Strategic level'!J29)," ",'Strategic level'!J29)</f>
        <v xml:space="preserve"> </v>
      </c>
      <c r="S21" s="228">
        <f>IF(ISBLANK('Strategic level'!K29)," ",'Strategic level'!K29)</f>
        <v>221.45699999999999</v>
      </c>
      <c r="T21" s="228">
        <f>IF(ISBLANK('Strategic level'!L29)," ",'Strategic level'!L29)</f>
        <v>238.53299999999999</v>
      </c>
      <c r="U21" s="349"/>
      <c r="V21" s="352"/>
      <c r="W21" s="349"/>
      <c r="X21" s="349"/>
      <c r="Y21" s="349"/>
      <c r="Z21" s="349"/>
      <c r="AA21" s="349"/>
      <c r="AB21" s="349"/>
      <c r="AC21" s="349"/>
      <c r="AD21" s="321"/>
      <c r="AE21" s="321"/>
      <c r="AF21" s="321"/>
      <c r="AG21" s="321"/>
      <c r="AH21" s="321"/>
      <c r="AI21" s="321"/>
      <c r="AJ21" s="321"/>
      <c r="AK21" s="321"/>
      <c r="AL21" s="318"/>
      <c r="AM21" s="205"/>
      <c r="AN21" s="205"/>
      <c r="AO21" s="205"/>
      <c r="AP21" s="205"/>
      <c r="AQ21" s="205"/>
      <c r="AR21" s="205"/>
      <c r="AS21" s="205"/>
      <c r="AT21" s="205"/>
    </row>
    <row r="22" spans="2:46" ht="66" x14ac:dyDescent="0.25">
      <c r="B22" s="354"/>
      <c r="C22" s="340"/>
      <c r="D22" s="311"/>
      <c r="E22" s="311"/>
      <c r="F22" s="311"/>
      <c r="G22" s="311"/>
      <c r="H22" s="311"/>
      <c r="I22" s="311"/>
      <c r="J22" s="311"/>
      <c r="K22" s="311"/>
      <c r="L22" s="229" t="s">
        <v>151</v>
      </c>
      <c r="M22" s="230" t="s">
        <v>264</v>
      </c>
      <c r="N22" s="231"/>
      <c r="O22" s="230" t="s">
        <v>208</v>
      </c>
      <c r="P22" s="342" t="s">
        <v>1065</v>
      </c>
      <c r="Q22" s="343"/>
      <c r="R22" s="343"/>
      <c r="S22" s="343"/>
      <c r="T22" s="343"/>
      <c r="U22" s="344"/>
      <c r="V22" s="344"/>
      <c r="W22" s="344"/>
      <c r="X22" s="344"/>
      <c r="Y22" s="344"/>
      <c r="Z22" s="344"/>
      <c r="AA22" s="344"/>
      <c r="AB22" s="344"/>
      <c r="AC22" s="345"/>
      <c r="AD22" s="322"/>
      <c r="AE22" s="322"/>
      <c r="AF22" s="322"/>
      <c r="AG22" s="322"/>
      <c r="AH22" s="322"/>
      <c r="AI22" s="322"/>
      <c r="AJ22" s="322"/>
      <c r="AK22" s="322"/>
      <c r="AL22" s="319"/>
      <c r="AM22" s="205"/>
      <c r="AN22" s="205"/>
      <c r="AO22" s="205"/>
      <c r="AP22" s="205"/>
      <c r="AQ22" s="205"/>
      <c r="AR22" s="205"/>
      <c r="AS22" s="205"/>
      <c r="AT22" s="205"/>
    </row>
    <row r="23" spans="2:46" ht="66" x14ac:dyDescent="0.25">
      <c r="B23" s="358" t="s">
        <v>14</v>
      </c>
      <c r="C23" s="335" t="s">
        <v>1067</v>
      </c>
      <c r="D23" s="303" t="s">
        <v>1064</v>
      </c>
      <c r="E23" s="303"/>
      <c r="F23" s="223"/>
      <c r="G23" s="223"/>
      <c r="H23" s="223"/>
      <c r="I23" s="223"/>
      <c r="J23" s="223"/>
      <c r="K23" s="223"/>
      <c r="L23" s="184" t="s">
        <v>85</v>
      </c>
      <c r="M23" s="118" t="s">
        <v>265</v>
      </c>
      <c r="N23" s="218"/>
      <c r="O23" s="118" t="s">
        <v>266</v>
      </c>
      <c r="P23" s="165" t="s">
        <v>203</v>
      </c>
      <c r="Q23" s="165" t="s">
        <v>203</v>
      </c>
      <c r="R23" s="165" t="s">
        <v>203</v>
      </c>
      <c r="S23" s="165" t="s">
        <v>203</v>
      </c>
      <c r="T23" s="165" t="s">
        <v>203</v>
      </c>
      <c r="U23" s="134"/>
      <c r="V23" s="134"/>
      <c r="W23" s="134"/>
      <c r="X23" s="134">
        <v>0.1</v>
      </c>
      <c r="Y23" s="134">
        <v>0.3</v>
      </c>
      <c r="Z23" s="134">
        <v>0.5</v>
      </c>
      <c r="AA23" s="134">
        <v>0.6</v>
      </c>
      <c r="AB23" s="134">
        <v>0.6</v>
      </c>
      <c r="AC23" s="134">
        <v>0.7</v>
      </c>
      <c r="AD23" s="297"/>
      <c r="AE23" s="297">
        <f>ROUND(ROUND(2673879.6*1.1,-3)*1.04^1*'Strategic level'!P19/'Strategic level'!O19,-3)</f>
        <v>3135000</v>
      </c>
      <c r="AF23" s="297">
        <f>ROUND(AE23*1.04^2*'Strategic level'!Q19/'Strategic level'!P19,-3)</f>
        <v>3505000</v>
      </c>
      <c r="AG23" s="297">
        <f>ROUND(AF23*1.04^3*'Strategic level'!R19/'Strategic level'!Q19,-3)</f>
        <v>4074000</v>
      </c>
      <c r="AH23" s="297">
        <f>ROUND(AG23*1.04^4*'Strategic level'!S19/'Strategic level'!R19,-3)</f>
        <v>4922000</v>
      </c>
      <c r="AI23" s="297">
        <f>ROUND(AH23*1.04^5*'Strategic level'!T19/'Strategic level'!S19,-3)</f>
        <v>6183000</v>
      </c>
      <c r="AJ23" s="297">
        <f>ROUND(AI23*1.04^6*'Strategic level'!U19/'Strategic level'!T19,-3)</f>
        <v>8074000</v>
      </c>
      <c r="AK23" s="297">
        <f>SUM(AD23:AJ23)</f>
        <v>29893000</v>
      </c>
      <c r="AL23" s="315" t="s">
        <v>394</v>
      </c>
      <c r="AM23" s="205"/>
      <c r="AN23" s="205"/>
      <c r="AO23" s="205"/>
      <c r="AP23" s="205"/>
      <c r="AQ23" s="205"/>
      <c r="AR23" s="205"/>
      <c r="AS23" s="205"/>
      <c r="AT23" s="205"/>
    </row>
    <row r="24" spans="2:46" ht="203.25" customHeight="1" x14ac:dyDescent="0.25">
      <c r="B24" s="358"/>
      <c r="C24" s="337"/>
      <c r="D24" s="305"/>
      <c r="E24" s="305"/>
      <c r="F24" s="225"/>
      <c r="G24" s="225"/>
      <c r="H24" s="225"/>
      <c r="I24" s="225"/>
      <c r="J24" s="225"/>
      <c r="K24" s="225"/>
      <c r="L24" s="184" t="s">
        <v>152</v>
      </c>
      <c r="M24" s="118" t="s">
        <v>267</v>
      </c>
      <c r="N24" s="218"/>
      <c r="O24" s="118" t="s">
        <v>268</v>
      </c>
      <c r="P24" s="165" t="s">
        <v>203</v>
      </c>
      <c r="Q24" s="165" t="s">
        <v>203</v>
      </c>
      <c r="R24" s="165" t="s">
        <v>203</v>
      </c>
      <c r="S24" s="165" t="s">
        <v>203</v>
      </c>
      <c r="T24" s="165" t="s">
        <v>203</v>
      </c>
      <c r="U24" s="134"/>
      <c r="V24" s="134"/>
      <c r="W24" s="134"/>
      <c r="X24" s="134">
        <v>0.05</v>
      </c>
      <c r="Y24" s="134">
        <f>X24*(Y71+X71)/(Y72+X72)</f>
        <v>0.2</v>
      </c>
      <c r="Z24" s="134">
        <f>Y24*(Z71+Y71)/(Z72+Y72)</f>
        <v>0.53333333333333333</v>
      </c>
      <c r="AA24" s="134">
        <f>Z24*(AA71+Z71)/(AA72+Z72)</f>
        <v>1.1555555555555557</v>
      </c>
      <c r="AB24" s="134">
        <f>AA24*(AB71+AA71)/(AB72+AA72)</f>
        <v>1.9959595959595964</v>
      </c>
      <c r="AC24" s="134">
        <f>AB24*(AC71+AB71)/(AC72+AB72)</f>
        <v>2.9352346999405832</v>
      </c>
      <c r="AD24" s="299"/>
      <c r="AE24" s="299"/>
      <c r="AF24" s="299"/>
      <c r="AG24" s="299"/>
      <c r="AH24" s="299"/>
      <c r="AI24" s="299"/>
      <c r="AJ24" s="299"/>
      <c r="AK24" s="299"/>
      <c r="AL24" s="316"/>
      <c r="AM24" s="205"/>
      <c r="AN24" s="205"/>
      <c r="AO24" s="205"/>
      <c r="AP24" s="205"/>
      <c r="AQ24" s="205"/>
      <c r="AR24" s="205"/>
      <c r="AS24" s="205"/>
      <c r="AT24" s="205"/>
    </row>
    <row r="25" spans="2:46" ht="280.5" x14ac:dyDescent="0.25">
      <c r="B25" s="184" t="s">
        <v>15</v>
      </c>
      <c r="C25" s="126" t="s">
        <v>1002</v>
      </c>
      <c r="D25" s="64" t="s">
        <v>1064</v>
      </c>
      <c r="E25" s="126"/>
      <c r="F25" s="133"/>
      <c r="G25" s="133"/>
      <c r="H25" s="133"/>
      <c r="I25" s="133"/>
      <c r="J25" s="133"/>
      <c r="K25" s="133"/>
      <c r="L25" s="184" t="s">
        <v>86</v>
      </c>
      <c r="M25" s="118" t="s">
        <v>270</v>
      </c>
      <c r="N25" s="218"/>
      <c r="O25" s="118" t="s">
        <v>269</v>
      </c>
      <c r="P25" s="165"/>
      <c r="Q25" s="165"/>
      <c r="R25" s="165"/>
      <c r="S25" s="165"/>
      <c r="T25" s="165"/>
      <c r="U25" s="134"/>
      <c r="V25" s="134"/>
      <c r="W25" s="134">
        <v>0.02</v>
      </c>
      <c r="X25" s="134">
        <v>0.02</v>
      </c>
      <c r="Y25" s="134">
        <v>0.05</v>
      </c>
      <c r="Z25" s="134">
        <v>0.1</v>
      </c>
      <c r="AA25" s="134">
        <v>0.25</v>
      </c>
      <c r="AB25" s="134">
        <v>0.35</v>
      </c>
      <c r="AC25" s="134">
        <v>0.4</v>
      </c>
      <c r="AD25" s="219"/>
      <c r="AE25" s="219">
        <f>ROUND(1200*X25*Variables!C9*1.04^1*0.1,-3)</f>
        <v>100000</v>
      </c>
      <c r="AF25" s="219">
        <f>ROUND(1200*'Strategic level'!P19/'Strategic level'!O19*(Y25-X25)*Variables!C9*1.04^2*0.1,-3)</f>
        <v>160000</v>
      </c>
      <c r="AG25" s="219">
        <f>ROUND(1200*'Strategic level'!Q19/'Strategic level'!P19*(Z25-Y25)*1.04^3*Variables!C9*0.1,-3)</f>
        <v>279000</v>
      </c>
      <c r="AH25" s="219">
        <f>ROUND(1200*'Strategic level'!R19/'Strategic level'!Q19*(AA25-Z25)*Variables!C9*1.04^4*0.1,-3)</f>
        <v>870000</v>
      </c>
      <c r="AI25" s="219">
        <f>ROUND(1200*'Strategic level'!S19/'Strategic level'!R19*(AB25-AA25)*Variables!C9*1.04^5*0.1,-3)</f>
        <v>603000</v>
      </c>
      <c r="AJ25" s="219">
        <f>ROUND(1200*'Strategic level'!T19/'Strategic level'!S19*(AC25-AB25)*Variables!C9*1.04^6*0.1,-3)</f>
        <v>314000</v>
      </c>
      <c r="AK25" s="219">
        <f>SUM(AD25:AJ25)</f>
        <v>2326000</v>
      </c>
      <c r="AL25" s="130" t="s">
        <v>1105</v>
      </c>
      <c r="AM25" s="205"/>
      <c r="AN25" s="205"/>
      <c r="AO25" s="205"/>
      <c r="AP25" s="205"/>
      <c r="AQ25" s="205"/>
      <c r="AR25" s="205"/>
      <c r="AS25" s="205"/>
      <c r="AT25" s="205"/>
    </row>
    <row r="26" spans="2:46" ht="225.75" customHeight="1" x14ac:dyDescent="0.25">
      <c r="B26" s="184" t="s">
        <v>53</v>
      </c>
      <c r="C26" s="126" t="s">
        <v>1068</v>
      </c>
      <c r="D26" s="64" t="s">
        <v>1064</v>
      </c>
      <c r="E26" s="126"/>
      <c r="F26" s="133"/>
      <c r="G26" s="133"/>
      <c r="H26" s="133"/>
      <c r="I26" s="133"/>
      <c r="J26" s="133"/>
      <c r="K26" s="133"/>
      <c r="L26" s="184" t="s">
        <v>87</v>
      </c>
      <c r="M26" s="118" t="s">
        <v>368</v>
      </c>
      <c r="N26" s="218"/>
      <c r="O26" s="118" t="s">
        <v>271</v>
      </c>
      <c r="P26" s="165" t="s">
        <v>203</v>
      </c>
      <c r="Q26" s="165" t="s">
        <v>203</v>
      </c>
      <c r="R26" s="165" t="s">
        <v>203</v>
      </c>
      <c r="S26" s="165" t="s">
        <v>203</v>
      </c>
      <c r="T26" s="165" t="s">
        <v>203</v>
      </c>
      <c r="U26" s="134"/>
      <c r="V26" s="134"/>
      <c r="W26" s="134"/>
      <c r="X26" s="135">
        <v>40000</v>
      </c>
      <c r="Y26" s="135">
        <f>ROUND(X26*(Y71+Y72)/(X71+X72)*'Strategic level'!Q35/'Strategic level'!P35,-3)</f>
        <v>168000</v>
      </c>
      <c r="Z26" s="135">
        <f>ROUND(Y26*(Z71+Z72)/(Y71+Y72)*'Strategic level'!R35/'Strategic level'!Q35,-3)</f>
        <v>308000</v>
      </c>
      <c r="AA26" s="135">
        <f>ROUND(Z26*(AA71+AA72)/(Z71+Z72)*'Strategic level'!S35/'Strategic level'!R35,-3)</f>
        <v>552000</v>
      </c>
      <c r="AB26" s="135">
        <f>ROUND(AA26*(AB71+AB72)/(AA71+AA72)*'Strategic level'!T35/'Strategic level'!S35,-3)</f>
        <v>864000</v>
      </c>
      <c r="AC26" s="135">
        <f>ROUND(AB26*(AC71+AC72)/(AB71+AB72)*'Strategic level'!U35/'Strategic level'!T35,-3)</f>
        <v>1201000</v>
      </c>
      <c r="AD26" s="219"/>
      <c r="AE26" s="219">
        <f>ROUND(X26*Variables!C10*1.04^1*0.5,-3)</f>
        <v>208000</v>
      </c>
      <c r="AF26" s="219">
        <f>ROUND(Y26*Variables!C10*1.04^2*0.5,-3)</f>
        <v>909000</v>
      </c>
      <c r="AG26" s="219">
        <f>ROUND(Z26*Variables!C10*1.04^3*0.5,-3)</f>
        <v>1732000</v>
      </c>
      <c r="AH26" s="219">
        <f>ROUND(AA26*Variables!C10*1.04^4*0.5,-3)</f>
        <v>3229000</v>
      </c>
      <c r="AI26" s="219">
        <f>ROUND(AB26*Variables!C10*1.04^5*0.5,-3)</f>
        <v>5256000</v>
      </c>
      <c r="AJ26" s="219">
        <f>ROUND(AC26*Variables!C10*1.04^6*0.5,-3)</f>
        <v>7598000</v>
      </c>
      <c r="AK26" s="219">
        <f>SUM(AD26:AJ26)</f>
        <v>18932000</v>
      </c>
      <c r="AL26" s="130" t="s">
        <v>395</v>
      </c>
      <c r="AM26" s="205"/>
      <c r="AN26" s="205"/>
      <c r="AO26" s="205"/>
      <c r="AP26" s="205"/>
      <c r="AQ26" s="205"/>
      <c r="AR26" s="205"/>
      <c r="AS26" s="205"/>
      <c r="AT26" s="205"/>
    </row>
    <row r="27" spans="2:46" ht="132" x14ac:dyDescent="0.25">
      <c r="B27" s="187" t="s">
        <v>11</v>
      </c>
      <c r="C27" s="115" t="s">
        <v>54</v>
      </c>
      <c r="D27" s="190"/>
      <c r="E27" s="115"/>
      <c r="F27" s="115"/>
      <c r="G27" s="115"/>
      <c r="H27" s="115"/>
      <c r="I27" s="115"/>
      <c r="J27" s="115"/>
      <c r="K27" s="115"/>
      <c r="L27" s="114" t="s">
        <v>88</v>
      </c>
      <c r="M27" s="115" t="s">
        <v>367</v>
      </c>
      <c r="N27" s="232"/>
      <c r="O27" s="115" t="s">
        <v>272</v>
      </c>
      <c r="P27" s="140" t="s">
        <v>203</v>
      </c>
      <c r="Q27" s="140" t="s">
        <v>203</v>
      </c>
      <c r="R27" s="140" t="s">
        <v>203</v>
      </c>
      <c r="S27" s="140" t="s">
        <v>203</v>
      </c>
      <c r="T27" s="140" t="s">
        <v>203</v>
      </c>
      <c r="U27" s="127"/>
      <c r="V27" s="127"/>
      <c r="W27" s="127"/>
      <c r="X27" s="137">
        <f>(X28/1000)/'Strategic level'!M35</f>
        <v>4.5936260007664262E-4</v>
      </c>
      <c r="Y27" s="137">
        <f>(Y28/1000)/'Strategic level'!O35</f>
        <v>1.8559731456950039E-3</v>
      </c>
      <c r="Z27" s="137">
        <f>(Z28/1000)/'Strategic level'!P35</f>
        <v>3.2819154000495948E-3</v>
      </c>
      <c r="AA27" s="137">
        <f>(AA28/1000)/'Strategic level'!Q35</f>
        <v>5.6138358934678103E-3</v>
      </c>
      <c r="AB27" s="137">
        <f>(AB28/1000)/'Strategic level'!R35</f>
        <v>8.4034528780611226E-3</v>
      </c>
      <c r="AC27" s="137">
        <f>(AC28/1000)/'Strategic level'!S35</f>
        <v>1.118378294090489E-2</v>
      </c>
      <c r="AD27" s="217">
        <f>AD28+AD29</f>
        <v>0</v>
      </c>
      <c r="AE27" s="217">
        <f t="shared" ref="AE27:AK27" si="13">AE28+AE29</f>
        <v>275000</v>
      </c>
      <c r="AF27" s="217">
        <f t="shared" si="13"/>
        <v>1197000</v>
      </c>
      <c r="AG27" s="217">
        <f t="shared" si="13"/>
        <v>2279000</v>
      </c>
      <c r="AH27" s="217">
        <f t="shared" si="13"/>
        <v>4245000</v>
      </c>
      <c r="AI27" s="217">
        <f t="shared" si="13"/>
        <v>6913000</v>
      </c>
      <c r="AJ27" s="217">
        <f t="shared" si="13"/>
        <v>9997000</v>
      </c>
      <c r="AK27" s="217">
        <f t="shared" si="13"/>
        <v>24906000</v>
      </c>
      <c r="AL27" s="201" t="s">
        <v>388</v>
      </c>
      <c r="AM27" s="205"/>
      <c r="AN27" s="205"/>
      <c r="AO27" s="205"/>
      <c r="AP27" s="205"/>
      <c r="AQ27" s="205"/>
      <c r="AR27" s="205"/>
      <c r="AS27" s="205"/>
      <c r="AT27" s="205"/>
    </row>
    <row r="28" spans="2:46" ht="252" customHeight="1" x14ac:dyDescent="0.25">
      <c r="B28" s="176" t="s">
        <v>16</v>
      </c>
      <c r="C28" s="126" t="s">
        <v>1069</v>
      </c>
      <c r="D28" s="64" t="s">
        <v>736</v>
      </c>
      <c r="E28" s="126"/>
      <c r="F28" s="133"/>
      <c r="G28" s="133"/>
      <c r="H28" s="133"/>
      <c r="I28" s="133"/>
      <c r="J28" s="133"/>
      <c r="K28" s="133"/>
      <c r="L28" s="184" t="s">
        <v>89</v>
      </c>
      <c r="M28" s="118" t="s">
        <v>120</v>
      </c>
      <c r="N28" s="218"/>
      <c r="O28" s="118"/>
      <c r="P28" s="165" t="s">
        <v>203</v>
      </c>
      <c r="Q28" s="165" t="s">
        <v>203</v>
      </c>
      <c r="R28" s="165" t="s">
        <v>203</v>
      </c>
      <c r="S28" s="165" t="s">
        <v>203</v>
      </c>
      <c r="T28" s="165" t="s">
        <v>203</v>
      </c>
      <c r="U28" s="134"/>
      <c r="V28" s="134"/>
      <c r="W28" s="134"/>
      <c r="X28" s="222">
        <v>200</v>
      </c>
      <c r="Y28" s="222">
        <f>ROUND(X28*(Y71+Y72)/(X71+X72)*'Strategic level'!Q35/'Strategic level'!P35,0)</f>
        <v>838</v>
      </c>
      <c r="Z28" s="222">
        <f>ROUND(Y28*(Z71+Z72)/(Y71+Y72)*'Strategic level'!R35/'Strategic level'!Q35,0)</f>
        <v>1534</v>
      </c>
      <c r="AA28" s="222">
        <f>ROUND(Z28*(AA71+AA72)/(Z71+Z72)*'Strategic level'!S35/'Strategic level'!R35,0)</f>
        <v>2748</v>
      </c>
      <c r="AB28" s="222">
        <f>ROUND(AA28*(AB71+AB72)/(AA71+AA72)*'Strategic level'!T35/'Strategic level'!S35,0)</f>
        <v>4303</v>
      </c>
      <c r="AC28" s="222">
        <f>ROUND(AB28*(AC71+AC72)/(AB71+AB72)*'Strategic level'!U35/'Strategic level'!T35,0)</f>
        <v>5984</v>
      </c>
      <c r="AD28" s="219"/>
      <c r="AE28" s="219">
        <f>ROUND(X28*500*12*1.04^1*0.2,-3)</f>
        <v>250000</v>
      </c>
      <c r="AF28" s="219">
        <f>ROUND(Y28*500*12*1.04^2*0.2,-3)</f>
        <v>1088000</v>
      </c>
      <c r="AG28" s="219">
        <f>ROUND(Z28*500*12*1.04^3*0.2,-3)</f>
        <v>2071000</v>
      </c>
      <c r="AH28" s="219">
        <f>ROUND(AA28*500*12*1.04^4*0.2,-3)</f>
        <v>3858000</v>
      </c>
      <c r="AI28" s="219">
        <f>ROUND(AB28*500*12*1.04^5*0.2,-3)</f>
        <v>6282000</v>
      </c>
      <c r="AJ28" s="219">
        <f>ROUND(AC28*500*12*1.04^6*0.2,-3)</f>
        <v>9086000</v>
      </c>
      <c r="AK28" s="219">
        <f>SUM(AD28:AJ28)</f>
        <v>22635000</v>
      </c>
      <c r="AL28" s="130" t="s">
        <v>1104</v>
      </c>
      <c r="AM28" s="205"/>
      <c r="AN28" s="205"/>
      <c r="AO28" s="205"/>
      <c r="AP28" s="205"/>
      <c r="AQ28" s="205"/>
      <c r="AR28" s="205"/>
      <c r="AS28" s="205"/>
      <c r="AT28" s="205"/>
    </row>
    <row r="29" spans="2:46" ht="357" customHeight="1" x14ac:dyDescent="0.25">
      <c r="B29" s="184" t="s">
        <v>17</v>
      </c>
      <c r="C29" s="174" t="s">
        <v>1070</v>
      </c>
      <c r="D29" s="64" t="s">
        <v>740</v>
      </c>
      <c r="E29" s="126"/>
      <c r="F29" s="133"/>
      <c r="G29" s="133"/>
      <c r="H29" s="133"/>
      <c r="I29" s="133"/>
      <c r="J29" s="133"/>
      <c r="K29" s="133"/>
      <c r="L29" s="184" t="s">
        <v>90</v>
      </c>
      <c r="M29" s="118" t="s">
        <v>1071</v>
      </c>
      <c r="N29" s="218"/>
      <c r="O29" s="118"/>
      <c r="P29" s="165" t="s">
        <v>203</v>
      </c>
      <c r="Q29" s="165" t="s">
        <v>203</v>
      </c>
      <c r="R29" s="165" t="s">
        <v>203</v>
      </c>
      <c r="S29" s="165" t="s">
        <v>203</v>
      </c>
      <c r="T29" s="165" t="s">
        <v>203</v>
      </c>
      <c r="U29" s="134"/>
      <c r="V29" s="134"/>
      <c r="W29" s="134"/>
      <c r="X29" s="222">
        <v>10</v>
      </c>
      <c r="Y29" s="222">
        <f>ROUND(X29*(Y71+Y72)/(X71+X72)*'Strategic level'!Q35/'Strategic level'!P35,0)</f>
        <v>42</v>
      </c>
      <c r="Z29" s="222">
        <f>ROUND(Y29*(Z71+Z72)/(Y71+Y72)*'Strategic level'!R35/'Strategic level'!Q35,0)</f>
        <v>77</v>
      </c>
      <c r="AA29" s="222">
        <f>ROUND(Z29*(AA71+AA72)/(Z71+Z72)*'Strategic level'!S35/'Strategic level'!R35,0)</f>
        <v>138</v>
      </c>
      <c r="AB29" s="222">
        <f>ROUND(AA29*(AB71+AB72)/(AA71+AA72)*'Strategic level'!T35/'Strategic level'!S35,0)</f>
        <v>216</v>
      </c>
      <c r="AC29" s="222">
        <f>ROUND(AB29*(AC71+AC72)/(AB71+AB72)*'Strategic level'!U35/'Strategic level'!T35,0)</f>
        <v>300</v>
      </c>
      <c r="AD29" s="219"/>
      <c r="AE29" s="219">
        <f>ROUND(X29*2000*12*1.04^1*(0.2-0.1),-3)</f>
        <v>25000</v>
      </c>
      <c r="AF29" s="219">
        <f>ROUND(Y29*2000*12*1.04^2*(0.2-0.1),-3)</f>
        <v>109000</v>
      </c>
      <c r="AG29" s="219">
        <f>ROUND(Z29*2000*12*1.04^3*(0.2-0.1),-3)</f>
        <v>208000</v>
      </c>
      <c r="AH29" s="219">
        <f>ROUND(AA29*2000*12*1.04^4*(0.2-0.1),-3)</f>
        <v>387000</v>
      </c>
      <c r="AI29" s="219">
        <f>ROUND(AB29*2000*12*1.04^5*(0.2-0.1),-3)</f>
        <v>631000</v>
      </c>
      <c r="AJ29" s="219">
        <f>ROUND(AC29*2000*12*1.04^6*(0.2-0.1),-3)</f>
        <v>911000</v>
      </c>
      <c r="AK29" s="219">
        <f>SUM(AD29:AJ29)</f>
        <v>2271000</v>
      </c>
      <c r="AL29" s="130" t="s">
        <v>1103</v>
      </c>
      <c r="AM29" s="205"/>
      <c r="AN29" s="205"/>
      <c r="AO29" s="205"/>
      <c r="AP29" s="219">
        <f>ROUND(AJ29*1.04,-3)</f>
        <v>947000</v>
      </c>
      <c r="AQ29" s="219">
        <f>ROUND(AP29*1.04,-3)</f>
        <v>985000</v>
      </c>
      <c r="AR29" s="219">
        <f t="shared" ref="AR29:AT29" si="14">ROUND(AQ29*1.04,-3)</f>
        <v>1024000</v>
      </c>
      <c r="AS29" s="219">
        <f t="shared" si="14"/>
        <v>1065000</v>
      </c>
      <c r="AT29" s="219">
        <f t="shared" si="14"/>
        <v>1108000</v>
      </c>
    </row>
    <row r="30" spans="2:46" ht="66" x14ac:dyDescent="0.25">
      <c r="B30" s="365" t="s">
        <v>56</v>
      </c>
      <c r="C30" s="338" t="s">
        <v>974</v>
      </c>
      <c r="D30" s="309"/>
      <c r="E30" s="309"/>
      <c r="F30" s="309"/>
      <c r="G30" s="309"/>
      <c r="H30" s="309"/>
      <c r="I30" s="309"/>
      <c r="J30" s="309"/>
      <c r="K30" s="309"/>
      <c r="L30" s="114" t="s">
        <v>91</v>
      </c>
      <c r="M30" s="115" t="s">
        <v>1012</v>
      </c>
      <c r="N30" s="232"/>
      <c r="O30" s="115"/>
      <c r="P30" s="140" t="s">
        <v>203</v>
      </c>
      <c r="Q30" s="140" t="s">
        <v>203</v>
      </c>
      <c r="R30" s="140" t="s">
        <v>203</v>
      </c>
      <c r="S30" s="140" t="s">
        <v>203</v>
      </c>
      <c r="T30" s="140" t="s">
        <v>203</v>
      </c>
      <c r="U30" s="127"/>
      <c r="V30" s="127"/>
      <c r="W30" s="127"/>
      <c r="X30" s="127">
        <f>X33/(0.5*('Strategic level'!P41*1000))</f>
        <v>0.14392664581209272</v>
      </c>
      <c r="Y30" s="127">
        <f>Y33/(0.5*('Strategic level'!Q41*1000))</f>
        <v>0.24885926162131211</v>
      </c>
      <c r="Z30" s="127">
        <f>Z33/(0.4*('Strategic level'!R41*1000))</f>
        <v>0.36861387089674796</v>
      </c>
      <c r="AA30" s="127">
        <f>AA33/(0.4*('Strategic level'!S41*1000))</f>
        <v>0.44848958043893034</v>
      </c>
      <c r="AB30" s="127">
        <f>AB33/(0.35*('Strategic level'!T41*1000))</f>
        <v>0.6480594951158043</v>
      </c>
      <c r="AC30" s="127">
        <f>AC33/(0.35*('Strategic level'!U41*1000))</f>
        <v>0.87057841054280549</v>
      </c>
      <c r="AD30" s="320">
        <f>AD33+AD34+AD35</f>
        <v>0</v>
      </c>
      <c r="AE30" s="320">
        <f t="shared" ref="AE30:AJ30" si="15">AE33+AE34+AE35</f>
        <v>4951000</v>
      </c>
      <c r="AF30" s="320">
        <f t="shared" si="15"/>
        <v>7962000</v>
      </c>
      <c r="AG30" s="320">
        <f t="shared" si="15"/>
        <v>8590000</v>
      </c>
      <c r="AH30" s="320">
        <f t="shared" si="15"/>
        <v>9286000</v>
      </c>
      <c r="AI30" s="320">
        <f t="shared" si="15"/>
        <v>10043000</v>
      </c>
      <c r="AJ30" s="320">
        <f t="shared" si="15"/>
        <v>10856000</v>
      </c>
      <c r="AK30" s="320">
        <f t="shared" ref="AK30" si="16">AK33+AK34+AK35</f>
        <v>51688000</v>
      </c>
      <c r="AL30" s="323" t="s">
        <v>388</v>
      </c>
      <c r="AM30" s="205"/>
      <c r="AN30" s="205"/>
      <c r="AO30" s="205"/>
      <c r="AP30" s="205"/>
      <c r="AQ30" s="205"/>
      <c r="AR30" s="205"/>
      <c r="AS30" s="205"/>
      <c r="AT30" s="205"/>
    </row>
    <row r="31" spans="2:46" ht="82.5" x14ac:dyDescent="0.25">
      <c r="B31" s="365"/>
      <c r="C31" s="339"/>
      <c r="D31" s="310"/>
      <c r="E31" s="310"/>
      <c r="F31" s="310"/>
      <c r="G31" s="310"/>
      <c r="H31" s="310"/>
      <c r="I31" s="310"/>
      <c r="J31" s="310"/>
      <c r="K31" s="310"/>
      <c r="L31" s="114" t="s">
        <v>153</v>
      </c>
      <c r="M31" s="115" t="s">
        <v>1013</v>
      </c>
      <c r="N31" s="232"/>
      <c r="O31" s="115"/>
      <c r="P31" s="140" t="s">
        <v>203</v>
      </c>
      <c r="Q31" s="140" t="s">
        <v>203</v>
      </c>
      <c r="R31" s="140" t="s">
        <v>203</v>
      </c>
      <c r="S31" s="140" t="s">
        <v>203</v>
      </c>
      <c r="T31" s="140" t="s">
        <v>203</v>
      </c>
      <c r="U31" s="127"/>
      <c r="V31" s="127"/>
      <c r="W31" s="127"/>
      <c r="X31" s="127">
        <f>(X33/1000)/'Strategic level'!P41</f>
        <v>7.1963322906046345E-2</v>
      </c>
      <c r="Y31" s="127">
        <f>(Y33/1000)/'Strategic level'!Q41</f>
        <v>0.12442963081065607</v>
      </c>
      <c r="Z31" s="127">
        <f>(Z33/1000)/'Strategic level'!R41</f>
        <v>0.14744554835869919</v>
      </c>
      <c r="AA31" s="127">
        <f>(AA33/1000)/'Strategic level'!S41</f>
        <v>0.17939583217557215</v>
      </c>
      <c r="AB31" s="127">
        <f>(AB33/1000)/'Strategic level'!T41</f>
        <v>0.22682082329053149</v>
      </c>
      <c r="AC31" s="127">
        <f>(AC33/1000)/'Strategic level'!U41</f>
        <v>0.30470244368998184</v>
      </c>
      <c r="AD31" s="321"/>
      <c r="AE31" s="321"/>
      <c r="AF31" s="321"/>
      <c r="AG31" s="321"/>
      <c r="AH31" s="321"/>
      <c r="AI31" s="321"/>
      <c r="AJ31" s="321"/>
      <c r="AK31" s="321"/>
      <c r="AL31" s="324"/>
      <c r="AM31" s="205"/>
      <c r="AN31" s="205"/>
      <c r="AO31" s="205"/>
      <c r="AP31" s="205"/>
      <c r="AQ31" s="205"/>
      <c r="AR31" s="205"/>
      <c r="AS31" s="205"/>
      <c r="AT31" s="205"/>
    </row>
    <row r="32" spans="2:46" ht="82.5" x14ac:dyDescent="0.25">
      <c r="B32" s="365"/>
      <c r="C32" s="340"/>
      <c r="D32" s="311"/>
      <c r="E32" s="311"/>
      <c r="F32" s="311"/>
      <c r="G32" s="311"/>
      <c r="H32" s="311"/>
      <c r="I32" s="311"/>
      <c r="J32" s="311"/>
      <c r="K32" s="311"/>
      <c r="L32" s="114" t="s">
        <v>161</v>
      </c>
      <c r="M32" s="115" t="s">
        <v>162</v>
      </c>
      <c r="N32" s="232"/>
      <c r="O32" s="115"/>
      <c r="P32" s="140" t="s">
        <v>203</v>
      </c>
      <c r="Q32" s="140" t="s">
        <v>203</v>
      </c>
      <c r="R32" s="140" t="s">
        <v>203</v>
      </c>
      <c r="S32" s="140" t="s">
        <v>203</v>
      </c>
      <c r="T32" s="140" t="s">
        <v>203</v>
      </c>
      <c r="U32" s="127"/>
      <c r="V32" s="127"/>
      <c r="W32" s="127"/>
      <c r="X32" s="127"/>
      <c r="Y32" s="127">
        <f>1.35/1.08</f>
        <v>1.25</v>
      </c>
      <c r="Z32" s="127">
        <f>1.35/1.08</f>
        <v>1.25</v>
      </c>
      <c r="AA32" s="127">
        <f>1.3/1.08</f>
        <v>1.2037037037037037</v>
      </c>
      <c r="AB32" s="127">
        <f>1.3/1.08</f>
        <v>1.2037037037037037</v>
      </c>
      <c r="AC32" s="127">
        <f t="shared" ref="AC32" si="17">1.25/1.08</f>
        <v>1.1574074074074074</v>
      </c>
      <c r="AD32" s="322"/>
      <c r="AE32" s="322"/>
      <c r="AF32" s="322"/>
      <c r="AG32" s="322"/>
      <c r="AH32" s="322"/>
      <c r="AI32" s="322"/>
      <c r="AJ32" s="322"/>
      <c r="AK32" s="322"/>
      <c r="AL32" s="325"/>
      <c r="AM32" s="205"/>
      <c r="AN32" s="205"/>
      <c r="AO32" s="205"/>
      <c r="AP32" s="205"/>
      <c r="AQ32" s="205"/>
      <c r="AR32" s="205"/>
      <c r="AS32" s="205"/>
      <c r="AT32" s="205"/>
    </row>
    <row r="33" spans="2:46" ht="181.5" x14ac:dyDescent="0.25">
      <c r="B33" s="184" t="s">
        <v>57</v>
      </c>
      <c r="C33" s="180" t="s">
        <v>1072</v>
      </c>
      <c r="D33" s="64" t="s">
        <v>736</v>
      </c>
      <c r="E33" s="220"/>
      <c r="F33" s="221"/>
      <c r="G33" s="221"/>
      <c r="H33" s="221"/>
      <c r="I33" s="221"/>
      <c r="J33" s="221"/>
      <c r="K33" s="221"/>
      <c r="L33" s="117" t="s">
        <v>92</v>
      </c>
      <c r="M33" s="118" t="s">
        <v>1014</v>
      </c>
      <c r="N33" s="218"/>
      <c r="O33" s="118"/>
      <c r="P33" s="165" t="s">
        <v>203</v>
      </c>
      <c r="Q33" s="165" t="s">
        <v>203</v>
      </c>
      <c r="R33" s="165" t="s">
        <v>203</v>
      </c>
      <c r="S33" s="165" t="s">
        <v>203</v>
      </c>
      <c r="T33" s="165" t="s">
        <v>203</v>
      </c>
      <c r="U33" s="134"/>
      <c r="V33" s="134"/>
      <c r="W33" s="135"/>
      <c r="X33" s="135">
        <f>ROUND(('Strategic level'!O41-'Strategic level'!P41)*1000,-2)</f>
        <v>11900</v>
      </c>
      <c r="Y33" s="135">
        <f>ROUND(('Strategic level'!P41-'Strategic level'!Q41)*1000,-2)</f>
        <v>18300</v>
      </c>
      <c r="Z33" s="135">
        <f>ROUND(('Strategic level'!Q41-'Strategic level'!R41)*1000,-2)</f>
        <v>18900</v>
      </c>
      <c r="AA33" s="135">
        <f>ROUND(('Strategic level'!R41-'Strategic level'!S41)*1000,-2)</f>
        <v>19500</v>
      </c>
      <c r="AB33" s="135">
        <f>ROUND(('Strategic level'!S41-'Strategic level'!T41)*1000,-2)</f>
        <v>20100</v>
      </c>
      <c r="AC33" s="135">
        <f>ROUND(('Strategic level'!T41-'Strategic level'!U41)*1000,-2)</f>
        <v>20700</v>
      </c>
      <c r="AD33" s="219">
        <f>ROUND(W33*Variables!C11*1.04^0,-3)</f>
        <v>0</v>
      </c>
      <c r="AE33" s="219">
        <f>ROUND(X33*Variables!C11*1.04^1,-3)</f>
        <v>3713000</v>
      </c>
      <c r="AF33" s="219">
        <f>ROUND(Y33*Variables!C11*1.04^2,-3)</f>
        <v>5938000</v>
      </c>
      <c r="AG33" s="219">
        <f>ROUND(Z33*Variables!C11*1.04^3,-3)</f>
        <v>6378000</v>
      </c>
      <c r="AH33" s="219">
        <f>ROUND(AA33*Variables!C11*1.04^4,-3)</f>
        <v>6844000</v>
      </c>
      <c r="AI33" s="219">
        <f>ROUND(AB33*Variables!C11*1.04^5,-3)</f>
        <v>7336000</v>
      </c>
      <c r="AJ33" s="219">
        <f>ROUND(AC33*Variables!C11*1.04^6,-3)</f>
        <v>7858000</v>
      </c>
      <c r="AK33" s="219">
        <f>SUM(AD33:AJ33)</f>
        <v>38067000</v>
      </c>
      <c r="AL33" s="130" t="s">
        <v>1015</v>
      </c>
      <c r="AM33" s="205"/>
      <c r="AN33" s="205"/>
      <c r="AO33" s="205"/>
      <c r="AP33" s="219">
        <f>ROUND(AJ33*1.04,-3)</f>
        <v>8172000</v>
      </c>
      <c r="AQ33" s="219">
        <f>ROUND(AP33*1.04,-3)</f>
        <v>8499000</v>
      </c>
      <c r="AR33" s="219">
        <f t="shared" ref="AR33:AT35" si="18">ROUND(AQ33*1.04,-3)</f>
        <v>8839000</v>
      </c>
      <c r="AS33" s="219">
        <f t="shared" si="18"/>
        <v>9193000</v>
      </c>
      <c r="AT33" s="219">
        <f t="shared" si="18"/>
        <v>9561000</v>
      </c>
    </row>
    <row r="34" spans="2:46" ht="206.25" customHeight="1" x14ac:dyDescent="0.25">
      <c r="B34" s="184" t="s">
        <v>58</v>
      </c>
      <c r="C34" s="174" t="s">
        <v>1073</v>
      </c>
      <c r="D34" s="197" t="s">
        <v>1042</v>
      </c>
      <c r="E34" s="126"/>
      <c r="F34" s="133"/>
      <c r="G34" s="133"/>
      <c r="H34" s="133"/>
      <c r="I34" s="133"/>
      <c r="J34" s="133"/>
      <c r="K34" s="133"/>
      <c r="L34" s="117" t="s">
        <v>93</v>
      </c>
      <c r="M34" s="118" t="s">
        <v>1074</v>
      </c>
      <c r="N34" s="218"/>
      <c r="O34" s="118"/>
      <c r="P34" s="165" t="s">
        <v>203</v>
      </c>
      <c r="Q34" s="165" t="s">
        <v>203</v>
      </c>
      <c r="R34" s="165" t="s">
        <v>203</v>
      </c>
      <c r="S34" s="165" t="s">
        <v>203</v>
      </c>
      <c r="T34" s="165" t="s">
        <v>203</v>
      </c>
      <c r="U34" s="134"/>
      <c r="V34" s="134"/>
      <c r="W34" s="135"/>
      <c r="X34" s="135">
        <f>X33</f>
        <v>11900</v>
      </c>
      <c r="Y34" s="135">
        <f t="shared" ref="Y34:AC34" si="19">Y33</f>
        <v>18300</v>
      </c>
      <c r="Z34" s="135">
        <f t="shared" si="19"/>
        <v>18900</v>
      </c>
      <c r="AA34" s="135">
        <f t="shared" si="19"/>
        <v>19500</v>
      </c>
      <c r="AB34" s="135">
        <f t="shared" si="19"/>
        <v>20100</v>
      </c>
      <c r="AC34" s="135">
        <f t="shared" si="19"/>
        <v>20700</v>
      </c>
      <c r="AD34" s="135">
        <f>ROUND(W34*Variables!C12*1.04^0,-3)</f>
        <v>0</v>
      </c>
      <c r="AE34" s="219">
        <f>ROUND(X34*Variables!C12*1.04^1,-3)</f>
        <v>1238000</v>
      </c>
      <c r="AF34" s="219">
        <f>ROUND(Y34*Variables!C12*1.04^2,-3)</f>
        <v>1979000</v>
      </c>
      <c r="AG34" s="219">
        <f>ROUND(Z34*Variables!C12*1.04^3,-3)</f>
        <v>2126000</v>
      </c>
      <c r="AH34" s="219">
        <f>ROUND(AA34*Variables!C12*1.04^4,-3)</f>
        <v>2281000</v>
      </c>
      <c r="AI34" s="219">
        <f>ROUND(AB34*Variables!C12*1.04^5,-3)</f>
        <v>2445000</v>
      </c>
      <c r="AJ34" s="219">
        <f>ROUND(AC34*Variables!C12*1.04^6,-3)</f>
        <v>2619000</v>
      </c>
      <c r="AK34" s="219">
        <f>SUM(AD34:AJ34)</f>
        <v>12688000</v>
      </c>
      <c r="AL34" s="130" t="s">
        <v>400</v>
      </c>
      <c r="AM34" s="205"/>
      <c r="AN34" s="205"/>
      <c r="AO34" s="205"/>
      <c r="AP34" s="219">
        <f>ROUND(AJ34*1.04,-3)</f>
        <v>2724000</v>
      </c>
      <c r="AQ34" s="219">
        <f>ROUND(AP34*1.04,-3)</f>
        <v>2833000</v>
      </c>
      <c r="AR34" s="219">
        <f t="shared" si="18"/>
        <v>2946000</v>
      </c>
      <c r="AS34" s="219">
        <f t="shared" si="18"/>
        <v>3064000</v>
      </c>
      <c r="AT34" s="219">
        <f t="shared" si="18"/>
        <v>3187000</v>
      </c>
    </row>
    <row r="35" spans="2:46" ht="115.5" x14ac:dyDescent="0.25">
      <c r="B35" s="184" t="s">
        <v>59</v>
      </c>
      <c r="C35" s="174" t="s">
        <v>1031</v>
      </c>
      <c r="D35" s="197" t="s">
        <v>738</v>
      </c>
      <c r="E35" s="126"/>
      <c r="F35" s="126"/>
      <c r="G35" s="133"/>
      <c r="H35" s="133"/>
      <c r="I35" s="133"/>
      <c r="J35" s="133"/>
      <c r="K35" s="133"/>
      <c r="L35" s="117" t="s">
        <v>94</v>
      </c>
      <c r="M35" s="118" t="s">
        <v>122</v>
      </c>
      <c r="N35" s="218"/>
      <c r="O35" s="118"/>
      <c r="P35" s="165" t="s">
        <v>203</v>
      </c>
      <c r="Q35" s="165" t="s">
        <v>203</v>
      </c>
      <c r="R35" s="165" t="s">
        <v>203</v>
      </c>
      <c r="S35" s="165" t="s">
        <v>203</v>
      </c>
      <c r="T35" s="165" t="s">
        <v>203</v>
      </c>
      <c r="U35" s="134"/>
      <c r="V35" s="134"/>
      <c r="W35" s="134"/>
      <c r="X35" s="134"/>
      <c r="Y35" s="135">
        <f>Y28</f>
        <v>838</v>
      </c>
      <c r="Z35" s="135">
        <f t="shared" ref="Z35:AC35" si="20">Z28</f>
        <v>1534</v>
      </c>
      <c r="AA35" s="135">
        <f t="shared" si="20"/>
        <v>2748</v>
      </c>
      <c r="AB35" s="135">
        <f t="shared" si="20"/>
        <v>4303</v>
      </c>
      <c r="AC35" s="135">
        <f t="shared" si="20"/>
        <v>5984</v>
      </c>
      <c r="AD35" s="219"/>
      <c r="AE35" s="219"/>
      <c r="AF35" s="219">
        <f>ROUND(Variables!C13*1.04^2*Y35,-3)</f>
        <v>45000</v>
      </c>
      <c r="AG35" s="219">
        <f>ROUND(Variables!C13*1.04^3*Z35,-3)</f>
        <v>86000</v>
      </c>
      <c r="AH35" s="219">
        <f>ROUND(Variables!C13*1.04^4*AA35,-3)</f>
        <v>161000</v>
      </c>
      <c r="AI35" s="219">
        <f>ROUND(Variables!C13*1.04^5*AB35,-3)</f>
        <v>262000</v>
      </c>
      <c r="AJ35" s="219">
        <f>ROUND(Variables!C13*1.04^6*AC35,-3)</f>
        <v>379000</v>
      </c>
      <c r="AK35" s="219">
        <f>SUM(AD35:AJ35)</f>
        <v>933000</v>
      </c>
      <c r="AL35" s="130" t="s">
        <v>396</v>
      </c>
      <c r="AM35" s="205"/>
      <c r="AN35" s="205"/>
      <c r="AO35" s="205"/>
      <c r="AP35" s="219">
        <f>ROUND(AJ35*1.04,-3)</f>
        <v>394000</v>
      </c>
      <c r="AQ35" s="219">
        <f>ROUND(AP35*1.04,-3)</f>
        <v>410000</v>
      </c>
      <c r="AR35" s="219">
        <f t="shared" si="18"/>
        <v>426000</v>
      </c>
      <c r="AS35" s="219">
        <f t="shared" si="18"/>
        <v>443000</v>
      </c>
      <c r="AT35" s="219">
        <f t="shared" si="18"/>
        <v>461000</v>
      </c>
    </row>
    <row r="36" spans="2:46" ht="49.5" x14ac:dyDescent="0.25">
      <c r="B36" s="360" t="s">
        <v>60</v>
      </c>
      <c r="C36" s="338" t="s">
        <v>1075</v>
      </c>
      <c r="D36" s="309"/>
      <c r="E36" s="309"/>
      <c r="F36" s="309"/>
      <c r="G36" s="309"/>
      <c r="H36" s="309"/>
      <c r="I36" s="309"/>
      <c r="J36" s="309"/>
      <c r="K36" s="309"/>
      <c r="L36" s="114" t="s">
        <v>95</v>
      </c>
      <c r="M36" s="115" t="s">
        <v>124</v>
      </c>
      <c r="N36" s="115" t="s">
        <v>273</v>
      </c>
      <c r="O36" s="115" t="s">
        <v>274</v>
      </c>
      <c r="P36" s="116">
        <f t="shared" ref="P36:S36" si="21">P37-P38</f>
        <v>64976</v>
      </c>
      <c r="Q36" s="116">
        <f t="shared" si="21"/>
        <v>78807</v>
      </c>
      <c r="R36" s="116">
        <f t="shared" si="21"/>
        <v>75473</v>
      </c>
      <c r="S36" s="116">
        <f t="shared" si="21"/>
        <v>156070</v>
      </c>
      <c r="T36" s="116">
        <f>T37-T38</f>
        <v>174704</v>
      </c>
      <c r="U36" s="376">
        <f>T36*(1+_xlfn.RRI(4,$P$36,$T$36))</f>
        <v>223712.53434213664</v>
      </c>
      <c r="V36" s="392">
        <f>+(U36+W36)/2</f>
        <v>255090.81824540455</v>
      </c>
      <c r="W36" s="376">
        <f>U36*(1+_xlfn.RRI(4,$P$36,$T$36))</f>
        <v>286469.10214867245</v>
      </c>
      <c r="X36" s="376">
        <f>W36*(1+_xlfn.RRI(4,$P$36,$T$36))</f>
        <v>366830.34648546076</v>
      </c>
      <c r="Y36" s="376">
        <f>X36*'Strategic level'!Q19/'Strategic level'!P19</f>
        <v>379180.94411553192</v>
      </c>
      <c r="Z36" s="376">
        <f>Y36*'Strategic level'!R19/'Strategic level'!Q19</f>
        <v>391784.01181928237</v>
      </c>
      <c r="AA36" s="376">
        <f>Z36*'Strategic level'!S19/'Strategic level'!R19</f>
        <v>404645.59613601014</v>
      </c>
      <c r="AB36" s="376">
        <f>AA36*'Strategic level'!T19/'Strategic level'!S19</f>
        <v>417771.81565735757</v>
      </c>
      <c r="AC36" s="376">
        <f>AB36*'Strategic level'!U19/'Strategic level'!T19</f>
        <v>431168.86006907286</v>
      </c>
      <c r="AD36" s="320">
        <f>AD39+AD40+AD41</f>
        <v>0</v>
      </c>
      <c r="AE36" s="320">
        <f t="shared" ref="AE36:AJ36" si="22">AE39+AE40+AE41</f>
        <v>245000</v>
      </c>
      <c r="AF36" s="320">
        <f t="shared" si="22"/>
        <v>465000</v>
      </c>
      <c r="AG36" s="320">
        <f t="shared" si="22"/>
        <v>835000</v>
      </c>
      <c r="AH36" s="320">
        <f t="shared" si="22"/>
        <v>1383000</v>
      </c>
      <c r="AI36" s="320">
        <f t="shared" si="22"/>
        <v>7288000</v>
      </c>
      <c r="AJ36" s="320">
        <f t="shared" si="22"/>
        <v>10368000</v>
      </c>
      <c r="AK36" s="320">
        <f t="shared" ref="AK36" si="23">AK39+AK40+AK41</f>
        <v>20584000</v>
      </c>
      <c r="AL36" s="383" t="s">
        <v>388</v>
      </c>
      <c r="AM36" s="205"/>
      <c r="AN36" s="205"/>
      <c r="AO36" s="205"/>
      <c r="AP36" s="205"/>
      <c r="AQ36" s="205"/>
      <c r="AR36" s="205"/>
      <c r="AS36" s="205"/>
      <c r="AT36" s="205"/>
    </row>
    <row r="37" spans="2:46" ht="49.5" x14ac:dyDescent="0.25">
      <c r="B37" s="361"/>
      <c r="C37" s="339"/>
      <c r="D37" s="310"/>
      <c r="E37" s="310"/>
      <c r="F37" s="310"/>
      <c r="G37" s="310"/>
      <c r="H37" s="310"/>
      <c r="I37" s="310"/>
      <c r="J37" s="310"/>
      <c r="K37" s="310"/>
      <c r="L37" s="117"/>
      <c r="M37" s="118" t="s">
        <v>246</v>
      </c>
      <c r="N37" s="118" t="s">
        <v>209</v>
      </c>
      <c r="O37" s="218"/>
      <c r="P37" s="233">
        <v>268041</v>
      </c>
      <c r="Q37" s="233">
        <v>234128</v>
      </c>
      <c r="R37" s="233">
        <v>189868</v>
      </c>
      <c r="S37" s="233">
        <v>273254</v>
      </c>
      <c r="T37" s="233">
        <v>322216</v>
      </c>
      <c r="U37" s="377"/>
      <c r="V37" s="393"/>
      <c r="W37" s="377"/>
      <c r="X37" s="377"/>
      <c r="Y37" s="377"/>
      <c r="Z37" s="377"/>
      <c r="AA37" s="377"/>
      <c r="AB37" s="377"/>
      <c r="AC37" s="377"/>
      <c r="AD37" s="321"/>
      <c r="AE37" s="321"/>
      <c r="AF37" s="321"/>
      <c r="AG37" s="321"/>
      <c r="AH37" s="321"/>
      <c r="AI37" s="321"/>
      <c r="AJ37" s="321"/>
      <c r="AK37" s="321"/>
      <c r="AL37" s="384"/>
      <c r="AM37" s="205"/>
      <c r="AN37" s="205"/>
      <c r="AO37" s="205"/>
      <c r="AP37" s="205"/>
      <c r="AQ37" s="205"/>
      <c r="AR37" s="205"/>
      <c r="AS37" s="205"/>
      <c r="AT37" s="205"/>
    </row>
    <row r="38" spans="2:46" ht="49.5" x14ac:dyDescent="0.25">
      <c r="B38" s="362"/>
      <c r="C38" s="340"/>
      <c r="D38" s="311"/>
      <c r="E38" s="311"/>
      <c r="F38" s="311"/>
      <c r="G38" s="311"/>
      <c r="H38" s="311"/>
      <c r="I38" s="311"/>
      <c r="J38" s="311"/>
      <c r="K38" s="311"/>
      <c r="L38" s="117"/>
      <c r="M38" s="118" t="s">
        <v>247</v>
      </c>
      <c r="N38" s="118" t="s">
        <v>209</v>
      </c>
      <c r="O38" s="218"/>
      <c r="P38" s="233">
        <v>203065</v>
      </c>
      <c r="Q38" s="233">
        <v>155321</v>
      </c>
      <c r="R38" s="233">
        <v>114395</v>
      </c>
      <c r="S38" s="233">
        <v>117184</v>
      </c>
      <c r="T38" s="233">
        <v>147512</v>
      </c>
      <c r="U38" s="378"/>
      <c r="V38" s="394"/>
      <c r="W38" s="378"/>
      <c r="X38" s="378"/>
      <c r="Y38" s="378"/>
      <c r="Z38" s="378"/>
      <c r="AA38" s="378"/>
      <c r="AB38" s="378"/>
      <c r="AC38" s="378"/>
      <c r="AD38" s="322"/>
      <c r="AE38" s="322"/>
      <c r="AF38" s="322"/>
      <c r="AG38" s="322"/>
      <c r="AH38" s="322"/>
      <c r="AI38" s="322"/>
      <c r="AJ38" s="322"/>
      <c r="AK38" s="322"/>
      <c r="AL38" s="385"/>
      <c r="AM38" s="205"/>
      <c r="AN38" s="205"/>
      <c r="AO38" s="205"/>
      <c r="AP38" s="205"/>
      <c r="AQ38" s="205"/>
      <c r="AR38" s="205"/>
      <c r="AS38" s="205"/>
      <c r="AT38" s="205"/>
    </row>
    <row r="39" spans="2:46" ht="148.5" x14ac:dyDescent="0.25">
      <c r="B39" s="64" t="s">
        <v>61</v>
      </c>
      <c r="C39" s="126" t="s">
        <v>1076</v>
      </c>
      <c r="D39" s="64" t="s">
        <v>741</v>
      </c>
      <c r="E39" s="126"/>
      <c r="F39" s="133"/>
      <c r="G39" s="133"/>
      <c r="H39" s="133"/>
      <c r="I39" s="133"/>
      <c r="J39" s="133"/>
      <c r="K39" s="133"/>
      <c r="L39" s="117" t="s">
        <v>96</v>
      </c>
      <c r="M39" s="118" t="s">
        <v>123</v>
      </c>
      <c r="N39" s="118"/>
      <c r="O39" s="118"/>
      <c r="P39" s="165"/>
      <c r="Q39" s="165"/>
      <c r="R39" s="165"/>
      <c r="S39" s="165" t="s">
        <v>203</v>
      </c>
      <c r="T39" s="165" t="s">
        <v>203</v>
      </c>
      <c r="U39" s="134"/>
      <c r="V39" s="134"/>
      <c r="W39" s="134"/>
      <c r="X39" s="222">
        <f>ROUND(X28*0.3,-1)</f>
        <v>60</v>
      </c>
      <c r="Y39" s="222">
        <f>ROUND(Y28*0.3,-1)</f>
        <v>250</v>
      </c>
      <c r="Z39" s="222">
        <f>ROUND(Z28*0.5,-1)</f>
        <v>770</v>
      </c>
      <c r="AA39" s="222">
        <f>ROUND(AA28*0.5,-1)</f>
        <v>1370</v>
      </c>
      <c r="AB39" s="222">
        <f>ROUND(AB28*0.5,-1)</f>
        <v>2150</v>
      </c>
      <c r="AC39" s="222">
        <f>ROUND(AC28*0.5,-1)</f>
        <v>2990</v>
      </c>
      <c r="AD39" s="219"/>
      <c r="AE39" s="219">
        <f>ROUND(X39*500*12*1.04^1*(0.2-0.1),-3)</f>
        <v>37000</v>
      </c>
      <c r="AF39" s="219">
        <f>ROUND(Y39*500*12*1.04^2*(0.2-0.1),-3)</f>
        <v>162000</v>
      </c>
      <c r="AG39" s="219">
        <f>ROUND(Z39*500*12*1.04^3*(0.2-0.1),-3)</f>
        <v>520000</v>
      </c>
      <c r="AH39" s="219">
        <f>ROUND(AA39*500*12*1.04^4*(0.2-0.1),-3)</f>
        <v>962000</v>
      </c>
      <c r="AI39" s="219">
        <f>ROUND(AB39*500*12*1.04^5*(0.2-0.1),-3)</f>
        <v>1569000</v>
      </c>
      <c r="AJ39" s="219">
        <f>ROUND(AC39*500*12*1.04^6*(0.2-0.1),-3)</f>
        <v>2270000</v>
      </c>
      <c r="AK39" s="219">
        <f>SUM(AD39:AJ39)</f>
        <v>5520000</v>
      </c>
      <c r="AL39" s="130" t="s">
        <v>397</v>
      </c>
      <c r="AM39" s="205"/>
      <c r="AN39" s="205"/>
      <c r="AO39" s="205"/>
      <c r="AP39" s="205"/>
      <c r="AQ39" s="205"/>
      <c r="AR39" s="205"/>
      <c r="AS39" s="205"/>
      <c r="AT39" s="205"/>
    </row>
    <row r="40" spans="2:46" ht="140.25" customHeight="1" x14ac:dyDescent="0.25">
      <c r="B40" s="184" t="s">
        <v>62</v>
      </c>
      <c r="C40" s="118" t="s">
        <v>1077</v>
      </c>
      <c r="D40" s="64" t="s">
        <v>736</v>
      </c>
      <c r="E40" s="126"/>
      <c r="F40" s="133"/>
      <c r="G40" s="133"/>
      <c r="H40" s="133"/>
      <c r="I40" s="133"/>
      <c r="J40" s="133"/>
      <c r="K40" s="133"/>
      <c r="L40" s="117" t="s">
        <v>97</v>
      </c>
      <c r="M40" s="118" t="s">
        <v>123</v>
      </c>
      <c r="N40" s="118"/>
      <c r="O40" s="118"/>
      <c r="P40" s="165"/>
      <c r="Q40" s="165"/>
      <c r="R40" s="165"/>
      <c r="S40" s="165" t="s">
        <v>203</v>
      </c>
      <c r="T40" s="165" t="s">
        <v>203</v>
      </c>
      <c r="U40" s="134"/>
      <c r="V40" s="134"/>
      <c r="W40" s="134"/>
      <c r="X40" s="134"/>
      <c r="Y40" s="134"/>
      <c r="Z40" s="134"/>
      <c r="AA40" s="134"/>
      <c r="AB40" s="222">
        <f>ROUND(AB28*0.1,-1)</f>
        <v>430</v>
      </c>
      <c r="AC40" s="222">
        <f>ROUND(AC28*0.1,-1)</f>
        <v>600</v>
      </c>
      <c r="AD40" s="219"/>
      <c r="AE40" s="219"/>
      <c r="AF40" s="219"/>
      <c r="AG40" s="219"/>
      <c r="AH40" s="219"/>
      <c r="AI40" s="219">
        <f>ROUND(AB40*20000*1.04^5*0.5,-3)</f>
        <v>5232000</v>
      </c>
      <c r="AJ40" s="219">
        <f>ROUND(AC40*20000*1.04^6*0.5,-3)</f>
        <v>7592000</v>
      </c>
      <c r="AK40" s="219">
        <f>SUM(AD40:AJ40)</f>
        <v>12824000</v>
      </c>
      <c r="AL40" s="130" t="s">
        <v>389</v>
      </c>
      <c r="AM40" s="205"/>
      <c r="AN40" s="205"/>
      <c r="AO40" s="205"/>
      <c r="AP40" s="219">
        <f>ROUND(AJ40*1.04,-3)</f>
        <v>7896000</v>
      </c>
      <c r="AQ40" s="219">
        <f>ROUND(AP40*1.04,-3)</f>
        <v>8212000</v>
      </c>
      <c r="AR40" s="219">
        <f t="shared" ref="AR40:AT40" si="24">ROUND(AQ40*1.04,-3)</f>
        <v>8540000</v>
      </c>
      <c r="AS40" s="219">
        <f t="shared" si="24"/>
        <v>8882000</v>
      </c>
      <c r="AT40" s="219">
        <f t="shared" si="24"/>
        <v>9237000</v>
      </c>
    </row>
    <row r="41" spans="2:46" ht="66" x14ac:dyDescent="0.25">
      <c r="B41" s="363" t="s">
        <v>63</v>
      </c>
      <c r="C41" s="355" t="s">
        <v>1078</v>
      </c>
      <c r="D41" s="303" t="s">
        <v>739</v>
      </c>
      <c r="E41" s="303"/>
      <c r="F41" s="306"/>
      <c r="G41" s="306"/>
      <c r="H41" s="306"/>
      <c r="I41" s="306"/>
      <c r="J41" s="306"/>
      <c r="K41" s="306"/>
      <c r="L41" s="117" t="s">
        <v>98</v>
      </c>
      <c r="M41" s="118" t="s">
        <v>324</v>
      </c>
      <c r="N41" s="118" t="s">
        <v>275</v>
      </c>
      <c r="O41" s="118" t="s">
        <v>325</v>
      </c>
      <c r="P41" s="134">
        <f>SUM(P47,AM47,AN47)/(P50+P53)</f>
        <v>4.0498795190133446E-3</v>
      </c>
      <c r="Q41" s="134">
        <f>SUM(P47:Q47,AN47)/(Q50+Q53)</f>
        <v>7.0682743225598949E-3</v>
      </c>
      <c r="R41" s="134">
        <f>SUM(P47:R47)/(R50+R53)</f>
        <v>1.0240624648072376E-2</v>
      </c>
      <c r="S41" s="134">
        <f>SUM(Q47:S47)/(S50+S53)</f>
        <v>1.1123623996897467E-2</v>
      </c>
      <c r="T41" s="134">
        <f>SUM(R47:T47)/(T50+T53)</f>
        <v>8.760574068700757E-3</v>
      </c>
      <c r="U41" s="373">
        <f>T41*(1+_xlfn.RRI(4,$P$41,$T$41))</f>
        <v>1.0624418794564315E-2</v>
      </c>
      <c r="V41" s="395">
        <f>+(U41+W41)/2</f>
        <v>1.0761679984898166E-2</v>
      </c>
      <c r="W41" s="373">
        <f>U41*'Strategic level'!O19/'Strategic level'!M19</f>
        <v>1.0898941175232017E-2</v>
      </c>
      <c r="X41" s="373">
        <f>W41*'Strategic level'!P19/'Strategic level'!O19</f>
        <v>1.1169473542707663E-2</v>
      </c>
      <c r="Y41" s="373">
        <f>X41*'Strategic level'!Q19/'Strategic level'!P19</f>
        <v>1.1545532052553919E-2</v>
      </c>
      <c r="Z41" s="373">
        <f>Y41*'Strategic level'!R19/'Strategic level'!Q19</f>
        <v>1.1929277924788002E-2</v>
      </c>
      <c r="AA41" s="373">
        <f>Z41*'Strategic level'!S19/'Strategic level'!R19</f>
        <v>1.2320895268116734E-2</v>
      </c>
      <c r="AB41" s="373">
        <f>AA41*'Strategic level'!T19/'Strategic level'!S19</f>
        <v>1.2720570385140548E-2</v>
      </c>
      <c r="AC41" s="373">
        <f>AB41*'Strategic level'!U19/'Strategic level'!T19</f>
        <v>1.312849174317646E-2</v>
      </c>
      <c r="AD41" s="297"/>
      <c r="AE41" s="297">
        <f>ROUND(($T$46+X71+X72-W71-W72)*40000*1.04^1,-3)</f>
        <v>208000</v>
      </c>
      <c r="AF41" s="297">
        <f>ROUND(($T$46+Y71+Y72-X71-X72)*40000*1.04^2,-3)</f>
        <v>303000</v>
      </c>
      <c r="AG41" s="297">
        <f>ROUND(($T$46+Z71+Z72-Y71-Y72)*40000*1.04^3,-3)</f>
        <v>315000</v>
      </c>
      <c r="AH41" s="297">
        <f>ROUND(($T$46+AA71+AA72-Z71-Z72)*40000*1.04^4,-3)</f>
        <v>421000</v>
      </c>
      <c r="AI41" s="297">
        <f>ROUND(($T$46+AB71+AB72-AA71-AA72)*40000*1.04^5,-3)</f>
        <v>487000</v>
      </c>
      <c r="AJ41" s="297">
        <f>ROUND(($T$46+AC71+AC72-AB71-AB72)*40000*1.04^6,-3)</f>
        <v>506000</v>
      </c>
      <c r="AK41" s="297">
        <f>SUM(AD41:AJ41)</f>
        <v>2240000</v>
      </c>
      <c r="AL41" s="380" t="s">
        <v>1102</v>
      </c>
      <c r="AM41" s="205"/>
      <c r="AN41" s="205"/>
      <c r="AO41" s="205"/>
      <c r="AP41" s="205"/>
      <c r="AQ41" s="205"/>
      <c r="AR41" s="205"/>
      <c r="AS41" s="205"/>
      <c r="AT41" s="205"/>
    </row>
    <row r="42" spans="2:46" ht="33" x14ac:dyDescent="0.25">
      <c r="B42" s="364"/>
      <c r="C42" s="356"/>
      <c r="D42" s="304"/>
      <c r="E42" s="304"/>
      <c r="F42" s="307"/>
      <c r="G42" s="307"/>
      <c r="H42" s="307"/>
      <c r="I42" s="307"/>
      <c r="J42" s="307"/>
      <c r="K42" s="307"/>
      <c r="L42" s="117"/>
      <c r="M42" s="118" t="s">
        <v>276</v>
      </c>
      <c r="N42" s="118" t="s">
        <v>210</v>
      </c>
      <c r="O42" s="118"/>
      <c r="P42" s="165">
        <v>6</v>
      </c>
      <c r="Q42" s="165">
        <v>2</v>
      </c>
      <c r="R42" s="165">
        <v>7</v>
      </c>
      <c r="S42" s="165">
        <v>4</v>
      </c>
      <c r="T42" s="165">
        <v>4</v>
      </c>
      <c r="U42" s="374"/>
      <c r="V42" s="396"/>
      <c r="W42" s="374"/>
      <c r="X42" s="374"/>
      <c r="Y42" s="374"/>
      <c r="Z42" s="374"/>
      <c r="AA42" s="374"/>
      <c r="AB42" s="374"/>
      <c r="AC42" s="374"/>
      <c r="AD42" s="298"/>
      <c r="AE42" s="298"/>
      <c r="AF42" s="298"/>
      <c r="AG42" s="298"/>
      <c r="AH42" s="298"/>
      <c r="AI42" s="298"/>
      <c r="AJ42" s="298"/>
      <c r="AK42" s="298"/>
      <c r="AL42" s="381"/>
      <c r="AM42" s="205"/>
      <c r="AN42" s="205"/>
      <c r="AO42" s="205"/>
      <c r="AP42" s="205"/>
      <c r="AQ42" s="205"/>
      <c r="AR42" s="205"/>
      <c r="AS42" s="205"/>
      <c r="AT42" s="205"/>
    </row>
    <row r="43" spans="2:46" ht="33" x14ac:dyDescent="0.25">
      <c r="B43" s="364"/>
      <c r="C43" s="356"/>
      <c r="D43" s="304"/>
      <c r="E43" s="304"/>
      <c r="F43" s="307"/>
      <c r="G43" s="307"/>
      <c r="H43" s="307"/>
      <c r="I43" s="307"/>
      <c r="J43" s="307"/>
      <c r="K43" s="307"/>
      <c r="L43" s="117"/>
      <c r="M43" s="118" t="s">
        <v>277</v>
      </c>
      <c r="N43" s="118" t="s">
        <v>210</v>
      </c>
      <c r="O43" s="118"/>
      <c r="P43" s="165">
        <v>1139</v>
      </c>
      <c r="Q43" s="165">
        <v>809</v>
      </c>
      <c r="R43" s="165">
        <v>2555</v>
      </c>
      <c r="S43" s="165">
        <v>1566</v>
      </c>
      <c r="T43" s="165">
        <v>181</v>
      </c>
      <c r="U43" s="374"/>
      <c r="V43" s="396"/>
      <c r="W43" s="374"/>
      <c r="X43" s="374"/>
      <c r="Y43" s="374"/>
      <c r="Z43" s="374"/>
      <c r="AA43" s="374"/>
      <c r="AB43" s="374"/>
      <c r="AC43" s="374"/>
      <c r="AD43" s="298"/>
      <c r="AE43" s="298"/>
      <c r="AF43" s="298"/>
      <c r="AG43" s="298"/>
      <c r="AH43" s="298"/>
      <c r="AI43" s="298"/>
      <c r="AJ43" s="298"/>
      <c r="AK43" s="298"/>
      <c r="AL43" s="381"/>
      <c r="AM43" s="205"/>
      <c r="AN43" s="205"/>
      <c r="AO43" s="205"/>
      <c r="AP43" s="205"/>
      <c r="AQ43" s="205"/>
      <c r="AR43" s="205"/>
      <c r="AS43" s="205"/>
      <c r="AT43" s="205"/>
    </row>
    <row r="44" spans="2:46" ht="33" x14ac:dyDescent="0.25">
      <c r="B44" s="364"/>
      <c r="C44" s="356"/>
      <c r="D44" s="304"/>
      <c r="E44" s="304"/>
      <c r="F44" s="307"/>
      <c r="G44" s="307"/>
      <c r="H44" s="307"/>
      <c r="I44" s="307"/>
      <c r="J44" s="307"/>
      <c r="K44" s="307"/>
      <c r="L44" s="117"/>
      <c r="M44" s="118" t="s">
        <v>278</v>
      </c>
      <c r="N44" s="118" t="s">
        <v>210</v>
      </c>
      <c r="O44" s="118"/>
      <c r="P44" s="165">
        <v>1</v>
      </c>
      <c r="Q44" s="165">
        <v>0</v>
      </c>
      <c r="R44" s="165">
        <v>3</v>
      </c>
      <c r="S44" s="165">
        <v>1</v>
      </c>
      <c r="T44" s="165">
        <v>0</v>
      </c>
      <c r="U44" s="374"/>
      <c r="V44" s="396"/>
      <c r="W44" s="374"/>
      <c r="X44" s="374"/>
      <c r="Y44" s="374"/>
      <c r="Z44" s="374"/>
      <c r="AA44" s="374"/>
      <c r="AB44" s="374"/>
      <c r="AC44" s="374"/>
      <c r="AD44" s="298"/>
      <c r="AE44" s="298"/>
      <c r="AF44" s="298"/>
      <c r="AG44" s="298"/>
      <c r="AH44" s="298"/>
      <c r="AI44" s="298"/>
      <c r="AJ44" s="298"/>
      <c r="AK44" s="298"/>
      <c r="AL44" s="381"/>
      <c r="AM44" s="205"/>
      <c r="AN44" s="205"/>
      <c r="AO44" s="205"/>
      <c r="AP44" s="205"/>
      <c r="AQ44" s="205"/>
      <c r="AR44" s="205"/>
      <c r="AS44" s="205"/>
      <c r="AT44" s="205"/>
    </row>
    <row r="45" spans="2:46" ht="49.5" x14ac:dyDescent="0.25">
      <c r="B45" s="364"/>
      <c r="C45" s="356"/>
      <c r="D45" s="304"/>
      <c r="E45" s="304"/>
      <c r="F45" s="307"/>
      <c r="G45" s="307"/>
      <c r="H45" s="307"/>
      <c r="I45" s="307"/>
      <c r="J45" s="307"/>
      <c r="K45" s="307"/>
      <c r="L45" s="117"/>
      <c r="M45" s="118" t="s">
        <v>279</v>
      </c>
      <c r="N45" s="118" t="s">
        <v>210</v>
      </c>
      <c r="O45" s="118"/>
      <c r="P45" s="165">
        <v>102</v>
      </c>
      <c r="Q45" s="165">
        <v>0</v>
      </c>
      <c r="R45" s="165">
        <v>1673</v>
      </c>
      <c r="S45" s="165">
        <v>274</v>
      </c>
      <c r="T45" s="165">
        <v>0</v>
      </c>
      <c r="U45" s="374"/>
      <c r="V45" s="396"/>
      <c r="W45" s="374"/>
      <c r="X45" s="374"/>
      <c r="Y45" s="374"/>
      <c r="Z45" s="374"/>
      <c r="AA45" s="374"/>
      <c r="AB45" s="374"/>
      <c r="AC45" s="374"/>
      <c r="AD45" s="298"/>
      <c r="AE45" s="298"/>
      <c r="AF45" s="298"/>
      <c r="AG45" s="298"/>
      <c r="AH45" s="298"/>
      <c r="AI45" s="298"/>
      <c r="AJ45" s="298"/>
      <c r="AK45" s="298"/>
      <c r="AL45" s="381"/>
      <c r="AM45" s="205"/>
      <c r="AN45" s="205"/>
      <c r="AO45" s="205"/>
      <c r="AP45" s="205"/>
      <c r="AQ45" s="205"/>
      <c r="AR45" s="205"/>
      <c r="AS45" s="205"/>
      <c r="AT45" s="205"/>
    </row>
    <row r="46" spans="2:46" ht="33" x14ac:dyDescent="0.25">
      <c r="B46" s="364"/>
      <c r="C46" s="356"/>
      <c r="D46" s="304"/>
      <c r="E46" s="304"/>
      <c r="F46" s="307"/>
      <c r="G46" s="307"/>
      <c r="H46" s="307"/>
      <c r="I46" s="307"/>
      <c r="J46" s="307"/>
      <c r="K46" s="307"/>
      <c r="L46" s="117"/>
      <c r="M46" s="118" t="s">
        <v>280</v>
      </c>
      <c r="N46" s="118" t="s">
        <v>210</v>
      </c>
      <c r="O46" s="118"/>
      <c r="P46" s="165">
        <f>P42-P44</f>
        <v>5</v>
      </c>
      <c r="Q46" s="165">
        <f t="shared" ref="Q46:T46" si="25">Q42-Q44</f>
        <v>2</v>
      </c>
      <c r="R46" s="165">
        <f t="shared" si="25"/>
        <v>4</v>
      </c>
      <c r="S46" s="165">
        <f t="shared" si="25"/>
        <v>3</v>
      </c>
      <c r="T46" s="165">
        <f t="shared" si="25"/>
        <v>4</v>
      </c>
      <c r="U46" s="374"/>
      <c r="V46" s="396"/>
      <c r="W46" s="374"/>
      <c r="X46" s="374"/>
      <c r="Y46" s="374"/>
      <c r="Z46" s="374"/>
      <c r="AA46" s="374"/>
      <c r="AB46" s="374"/>
      <c r="AC46" s="374"/>
      <c r="AD46" s="298"/>
      <c r="AE46" s="298"/>
      <c r="AF46" s="298"/>
      <c r="AG46" s="298"/>
      <c r="AH46" s="298"/>
      <c r="AI46" s="298"/>
      <c r="AJ46" s="298"/>
      <c r="AK46" s="298"/>
      <c r="AL46" s="381"/>
      <c r="AM46" s="205"/>
      <c r="AN46" s="205"/>
      <c r="AO46" s="205"/>
      <c r="AP46" s="205"/>
      <c r="AQ46" s="205"/>
      <c r="AR46" s="205"/>
      <c r="AS46" s="205"/>
      <c r="AT46" s="205"/>
    </row>
    <row r="47" spans="2:46" ht="49.5" x14ac:dyDescent="0.25">
      <c r="B47" s="364"/>
      <c r="C47" s="356"/>
      <c r="D47" s="304"/>
      <c r="E47" s="304"/>
      <c r="F47" s="307"/>
      <c r="G47" s="307"/>
      <c r="H47" s="307"/>
      <c r="I47" s="307"/>
      <c r="J47" s="307"/>
      <c r="K47" s="307"/>
      <c r="L47" s="117"/>
      <c r="M47" s="118" t="s">
        <v>281</v>
      </c>
      <c r="N47" s="118" t="s">
        <v>210</v>
      </c>
      <c r="O47" s="118"/>
      <c r="P47" s="165">
        <f>P43-P45</f>
        <v>1037</v>
      </c>
      <c r="Q47" s="165">
        <f t="shared" ref="Q47:T47" si="26">Q43-Q45</f>
        <v>809</v>
      </c>
      <c r="R47" s="165">
        <f t="shared" si="26"/>
        <v>882</v>
      </c>
      <c r="S47" s="165">
        <f t="shared" si="26"/>
        <v>1292</v>
      </c>
      <c r="T47" s="165">
        <f t="shared" si="26"/>
        <v>181</v>
      </c>
      <c r="U47" s="374"/>
      <c r="V47" s="396"/>
      <c r="W47" s="374"/>
      <c r="X47" s="374"/>
      <c r="Y47" s="374"/>
      <c r="Z47" s="374"/>
      <c r="AA47" s="374"/>
      <c r="AB47" s="374"/>
      <c r="AC47" s="374"/>
      <c r="AD47" s="298"/>
      <c r="AE47" s="298"/>
      <c r="AF47" s="298"/>
      <c r="AG47" s="298"/>
      <c r="AH47" s="298"/>
      <c r="AI47" s="298"/>
      <c r="AJ47" s="298"/>
      <c r="AK47" s="298"/>
      <c r="AL47" s="381"/>
      <c r="AM47" s="205"/>
      <c r="AN47" s="205"/>
      <c r="AO47" s="205"/>
      <c r="AP47" s="205"/>
      <c r="AQ47" s="205"/>
      <c r="AR47" s="205"/>
      <c r="AS47" s="205"/>
      <c r="AT47" s="205"/>
    </row>
    <row r="48" spans="2:46" ht="49.5" x14ac:dyDescent="0.25">
      <c r="B48" s="364"/>
      <c r="C48" s="356"/>
      <c r="D48" s="304"/>
      <c r="E48" s="304"/>
      <c r="F48" s="307"/>
      <c r="G48" s="307"/>
      <c r="H48" s="307"/>
      <c r="I48" s="307"/>
      <c r="J48" s="307"/>
      <c r="K48" s="307"/>
      <c r="L48" s="117"/>
      <c r="M48" s="118" t="s">
        <v>282</v>
      </c>
      <c r="N48" s="118" t="s">
        <v>185</v>
      </c>
      <c r="O48" s="118"/>
      <c r="P48" s="165">
        <v>373064</v>
      </c>
      <c r="Q48" s="165">
        <v>380812</v>
      </c>
      <c r="R48" s="165">
        <v>388898</v>
      </c>
      <c r="S48" s="165">
        <v>392390</v>
      </c>
      <c r="T48" s="165">
        <v>394128</v>
      </c>
      <c r="U48" s="374"/>
      <c r="V48" s="396"/>
      <c r="W48" s="374"/>
      <c r="X48" s="374"/>
      <c r="Y48" s="374"/>
      <c r="Z48" s="374"/>
      <c r="AA48" s="374"/>
      <c r="AB48" s="374"/>
      <c r="AC48" s="374"/>
      <c r="AD48" s="298"/>
      <c r="AE48" s="298"/>
      <c r="AF48" s="298"/>
      <c r="AG48" s="298"/>
      <c r="AH48" s="298"/>
      <c r="AI48" s="298"/>
      <c r="AJ48" s="298"/>
      <c r="AK48" s="298"/>
      <c r="AL48" s="381"/>
      <c r="AM48" s="205"/>
      <c r="AN48" s="205"/>
      <c r="AO48" s="205"/>
      <c r="AP48" s="205"/>
      <c r="AQ48" s="205"/>
      <c r="AR48" s="205"/>
      <c r="AS48" s="205"/>
      <c r="AT48" s="205"/>
    </row>
    <row r="49" spans="2:46" ht="49.5" x14ac:dyDescent="0.25">
      <c r="B49" s="364"/>
      <c r="C49" s="356"/>
      <c r="D49" s="304"/>
      <c r="E49" s="304"/>
      <c r="F49" s="307"/>
      <c r="G49" s="307"/>
      <c r="H49" s="307"/>
      <c r="I49" s="307"/>
      <c r="J49" s="307"/>
      <c r="K49" s="307"/>
      <c r="L49" s="117"/>
      <c r="M49" s="118" t="s">
        <v>283</v>
      </c>
      <c r="N49" s="118" t="s">
        <v>185</v>
      </c>
      <c r="O49" s="118"/>
      <c r="P49" s="165">
        <v>118081</v>
      </c>
      <c r="Q49" s="165">
        <v>120561</v>
      </c>
      <c r="R49" s="165">
        <v>123397</v>
      </c>
      <c r="S49" s="165">
        <v>125129</v>
      </c>
      <c r="T49" s="165">
        <v>126118</v>
      </c>
      <c r="U49" s="374"/>
      <c r="V49" s="396"/>
      <c r="W49" s="374"/>
      <c r="X49" s="374"/>
      <c r="Y49" s="374"/>
      <c r="Z49" s="374"/>
      <c r="AA49" s="374"/>
      <c r="AB49" s="374"/>
      <c r="AC49" s="374"/>
      <c r="AD49" s="298"/>
      <c r="AE49" s="298"/>
      <c r="AF49" s="298"/>
      <c r="AG49" s="298"/>
      <c r="AH49" s="298"/>
      <c r="AI49" s="298"/>
      <c r="AJ49" s="298"/>
      <c r="AK49" s="298"/>
      <c r="AL49" s="381"/>
      <c r="AM49" s="205"/>
      <c r="AN49" s="205"/>
      <c r="AO49" s="205"/>
      <c r="AP49" s="205"/>
      <c r="AQ49" s="205"/>
      <c r="AR49" s="205"/>
      <c r="AS49" s="205"/>
      <c r="AT49" s="205"/>
    </row>
    <row r="50" spans="2:46" ht="49.5" x14ac:dyDescent="0.25">
      <c r="B50" s="364"/>
      <c r="C50" s="356"/>
      <c r="D50" s="304"/>
      <c r="E50" s="304"/>
      <c r="F50" s="307"/>
      <c r="G50" s="307"/>
      <c r="H50" s="307"/>
      <c r="I50" s="307"/>
      <c r="J50" s="307"/>
      <c r="K50" s="307"/>
      <c r="L50" s="117"/>
      <c r="M50" s="118" t="s">
        <v>284</v>
      </c>
      <c r="N50" s="118" t="s">
        <v>185</v>
      </c>
      <c r="O50" s="118"/>
      <c r="P50" s="165">
        <f>P48-P49</f>
        <v>254983</v>
      </c>
      <c r="Q50" s="165">
        <f t="shared" ref="Q50:T50" si="27">Q48-Q49</f>
        <v>260251</v>
      </c>
      <c r="R50" s="165">
        <f t="shared" si="27"/>
        <v>265501</v>
      </c>
      <c r="S50" s="165">
        <f t="shared" si="27"/>
        <v>267261</v>
      </c>
      <c r="T50" s="165">
        <f t="shared" si="27"/>
        <v>268010</v>
      </c>
      <c r="U50" s="374"/>
      <c r="V50" s="396"/>
      <c r="W50" s="374"/>
      <c r="X50" s="374"/>
      <c r="Y50" s="374"/>
      <c r="Z50" s="374"/>
      <c r="AA50" s="374"/>
      <c r="AB50" s="374"/>
      <c r="AC50" s="374"/>
      <c r="AD50" s="298"/>
      <c r="AE50" s="298"/>
      <c r="AF50" s="298"/>
      <c r="AG50" s="298"/>
      <c r="AH50" s="298"/>
      <c r="AI50" s="298"/>
      <c r="AJ50" s="298"/>
      <c r="AK50" s="298"/>
      <c r="AL50" s="381"/>
      <c r="AM50" s="205"/>
      <c r="AN50" s="205"/>
      <c r="AO50" s="205"/>
      <c r="AP50" s="205"/>
      <c r="AQ50" s="205"/>
      <c r="AR50" s="205"/>
      <c r="AS50" s="205"/>
      <c r="AT50" s="205"/>
    </row>
    <row r="51" spans="2:46" ht="49.5" x14ac:dyDescent="0.25">
      <c r="B51" s="364"/>
      <c r="C51" s="356"/>
      <c r="D51" s="304"/>
      <c r="E51" s="304"/>
      <c r="F51" s="307"/>
      <c r="G51" s="307"/>
      <c r="H51" s="307"/>
      <c r="I51" s="307"/>
      <c r="J51" s="307"/>
      <c r="K51" s="307"/>
      <c r="L51" s="117"/>
      <c r="M51" s="118" t="s">
        <v>285</v>
      </c>
      <c r="N51" s="118" t="s">
        <v>185</v>
      </c>
      <c r="O51" s="118"/>
      <c r="P51" s="165">
        <v>9314</v>
      </c>
      <c r="Q51" s="165">
        <v>9699</v>
      </c>
      <c r="R51" s="165">
        <v>10396</v>
      </c>
      <c r="S51" s="165">
        <v>11263</v>
      </c>
      <c r="T51" s="165">
        <v>12163</v>
      </c>
      <c r="U51" s="374"/>
      <c r="V51" s="396"/>
      <c r="W51" s="374"/>
      <c r="X51" s="374"/>
      <c r="Y51" s="374"/>
      <c r="Z51" s="374"/>
      <c r="AA51" s="374"/>
      <c r="AB51" s="374"/>
      <c r="AC51" s="374"/>
      <c r="AD51" s="298"/>
      <c r="AE51" s="298"/>
      <c r="AF51" s="298"/>
      <c r="AG51" s="298"/>
      <c r="AH51" s="298"/>
      <c r="AI51" s="298"/>
      <c r="AJ51" s="298"/>
      <c r="AK51" s="298"/>
      <c r="AL51" s="381"/>
      <c r="AM51" s="205"/>
      <c r="AN51" s="205"/>
      <c r="AO51" s="205"/>
      <c r="AP51" s="205"/>
      <c r="AQ51" s="205"/>
      <c r="AR51" s="205"/>
      <c r="AS51" s="205"/>
      <c r="AT51" s="205"/>
    </row>
    <row r="52" spans="2:46" ht="49.5" x14ac:dyDescent="0.25">
      <c r="B52" s="364"/>
      <c r="C52" s="356"/>
      <c r="D52" s="304"/>
      <c r="E52" s="304"/>
      <c r="F52" s="307"/>
      <c r="G52" s="307"/>
      <c r="H52" s="307"/>
      <c r="I52" s="307"/>
      <c r="J52" s="307"/>
      <c r="K52" s="307"/>
      <c r="L52" s="117"/>
      <c r="M52" s="118" t="s">
        <v>286</v>
      </c>
      <c r="N52" s="118" t="s">
        <v>185</v>
      </c>
      <c r="O52" s="118"/>
      <c r="P52" s="165">
        <v>8240</v>
      </c>
      <c r="Q52" s="165">
        <v>8783</v>
      </c>
      <c r="R52" s="165">
        <v>9507</v>
      </c>
      <c r="S52" s="165">
        <v>10356</v>
      </c>
      <c r="T52" s="165">
        <v>11355</v>
      </c>
      <c r="U52" s="374"/>
      <c r="V52" s="396"/>
      <c r="W52" s="374"/>
      <c r="X52" s="374"/>
      <c r="Y52" s="374"/>
      <c r="Z52" s="374"/>
      <c r="AA52" s="374"/>
      <c r="AB52" s="374"/>
      <c r="AC52" s="374"/>
      <c r="AD52" s="298"/>
      <c r="AE52" s="298"/>
      <c r="AF52" s="298"/>
      <c r="AG52" s="298"/>
      <c r="AH52" s="298"/>
      <c r="AI52" s="298"/>
      <c r="AJ52" s="298"/>
      <c r="AK52" s="298"/>
      <c r="AL52" s="381"/>
      <c r="AM52" s="205"/>
      <c r="AN52" s="205"/>
      <c r="AO52" s="205"/>
      <c r="AP52" s="205"/>
      <c r="AQ52" s="205"/>
      <c r="AR52" s="205"/>
      <c r="AS52" s="205"/>
      <c r="AT52" s="205"/>
    </row>
    <row r="53" spans="2:46" ht="49.5" x14ac:dyDescent="0.25">
      <c r="B53" s="364"/>
      <c r="C53" s="356"/>
      <c r="D53" s="304"/>
      <c r="E53" s="304"/>
      <c r="F53" s="307"/>
      <c r="G53" s="307"/>
      <c r="H53" s="307"/>
      <c r="I53" s="307"/>
      <c r="J53" s="307"/>
      <c r="K53" s="307"/>
      <c r="L53" s="117"/>
      <c r="M53" s="118" t="s">
        <v>287</v>
      </c>
      <c r="N53" s="118" t="s">
        <v>185</v>
      </c>
      <c r="O53" s="118"/>
      <c r="P53" s="165">
        <f>P51-P52</f>
        <v>1074</v>
      </c>
      <c r="Q53" s="165">
        <f t="shared" ref="Q53:T53" si="28">Q51-Q52</f>
        <v>916</v>
      </c>
      <c r="R53" s="165">
        <f t="shared" si="28"/>
        <v>889</v>
      </c>
      <c r="S53" s="165">
        <f t="shared" si="28"/>
        <v>907</v>
      </c>
      <c r="T53" s="165">
        <f t="shared" si="28"/>
        <v>808</v>
      </c>
      <c r="U53" s="375"/>
      <c r="V53" s="397"/>
      <c r="W53" s="375"/>
      <c r="X53" s="375"/>
      <c r="Y53" s="375"/>
      <c r="Z53" s="375"/>
      <c r="AA53" s="375"/>
      <c r="AB53" s="375"/>
      <c r="AC53" s="375"/>
      <c r="AD53" s="298"/>
      <c r="AE53" s="298"/>
      <c r="AF53" s="298"/>
      <c r="AG53" s="298"/>
      <c r="AH53" s="298"/>
      <c r="AI53" s="298"/>
      <c r="AJ53" s="298"/>
      <c r="AK53" s="298"/>
      <c r="AL53" s="381"/>
      <c r="AM53" s="205"/>
      <c r="AN53" s="205"/>
      <c r="AO53" s="205"/>
      <c r="AP53" s="205"/>
      <c r="AQ53" s="205"/>
      <c r="AR53" s="205"/>
      <c r="AS53" s="205"/>
      <c r="AT53" s="205"/>
    </row>
    <row r="54" spans="2:46" ht="66" x14ac:dyDescent="0.25">
      <c r="B54" s="364"/>
      <c r="C54" s="356"/>
      <c r="D54" s="304"/>
      <c r="E54" s="304"/>
      <c r="F54" s="307"/>
      <c r="G54" s="307"/>
      <c r="H54" s="307"/>
      <c r="I54" s="307"/>
      <c r="J54" s="307"/>
      <c r="K54" s="307"/>
      <c r="L54" s="117" t="s">
        <v>125</v>
      </c>
      <c r="M54" s="118" t="s">
        <v>300</v>
      </c>
      <c r="N54" s="118" t="s">
        <v>185</v>
      </c>
      <c r="O54" s="118" t="s">
        <v>299</v>
      </c>
      <c r="P54" s="134">
        <f>P59/P65</f>
        <v>0.31027375114512046</v>
      </c>
      <c r="Q54" s="134">
        <f t="shared" ref="Q54:T54" si="29">Q59/Q65</f>
        <v>0.33625680313377476</v>
      </c>
      <c r="R54" s="134">
        <f t="shared" si="29"/>
        <v>0.23899825021872265</v>
      </c>
      <c r="S54" s="134">
        <f t="shared" si="29"/>
        <v>0.33028502321692521</v>
      </c>
      <c r="T54" s="134">
        <f t="shared" si="29"/>
        <v>0.34993608642002677</v>
      </c>
      <c r="U54" s="332">
        <f>T54*(1+_xlfn.RRI(4,$P$54,$T$54))</f>
        <v>0.36061987130300566</v>
      </c>
      <c r="V54" s="398">
        <f>+(U54+W54)/2</f>
        <v>0.36612485532586569</v>
      </c>
      <c r="W54" s="332">
        <f>U54*(1+_xlfn.RRI(4,$P$54,$T$54))</f>
        <v>0.37162983934872579</v>
      </c>
      <c r="X54" s="332">
        <f>W54*'Strategic level'!P19/'Strategic level'!O19</f>
        <v>0.38085439599575849</v>
      </c>
      <c r="Y54" s="332">
        <f>X54*'Strategic level'!Q19/'Strategic level'!P19</f>
        <v>0.39367716119404028</v>
      </c>
      <c r="Z54" s="332">
        <f>Y54*'Strategic level'!R19/'Strategic level'!Q19</f>
        <v>0.40676204848319963</v>
      </c>
      <c r="AA54" s="332">
        <f>Z54*'Strategic level'!S19/'Strategic level'!R19</f>
        <v>0.42011533556379838</v>
      </c>
      <c r="AB54" s="332">
        <f>AA54*'Strategic level'!T19/'Strategic level'!S19</f>
        <v>0.43374337494332837</v>
      </c>
      <c r="AC54" s="332">
        <f>AB54*'Strategic level'!U19/'Strategic level'!T19</f>
        <v>0.44765259294133936</v>
      </c>
      <c r="AD54" s="298"/>
      <c r="AE54" s="298"/>
      <c r="AF54" s="298"/>
      <c r="AG54" s="298"/>
      <c r="AH54" s="298"/>
      <c r="AI54" s="298"/>
      <c r="AJ54" s="298"/>
      <c r="AK54" s="298"/>
      <c r="AL54" s="381"/>
      <c r="AM54" s="205"/>
      <c r="AN54" s="205"/>
      <c r="AO54" s="205"/>
      <c r="AP54" s="205"/>
      <c r="AQ54" s="205"/>
      <c r="AR54" s="205"/>
      <c r="AS54" s="205"/>
      <c r="AT54" s="205"/>
    </row>
    <row r="55" spans="2:46" ht="49.5" x14ac:dyDescent="0.25">
      <c r="B55" s="364"/>
      <c r="C55" s="356"/>
      <c r="D55" s="304"/>
      <c r="E55" s="304"/>
      <c r="F55" s="307"/>
      <c r="G55" s="307"/>
      <c r="H55" s="307"/>
      <c r="I55" s="307"/>
      <c r="J55" s="307"/>
      <c r="K55" s="307"/>
      <c r="L55" s="184"/>
      <c r="M55" s="126" t="s">
        <v>288</v>
      </c>
      <c r="N55" s="234" t="s">
        <v>185</v>
      </c>
      <c r="O55" s="126"/>
      <c r="P55" s="235">
        <v>19209</v>
      </c>
      <c r="Q55" s="235">
        <v>20931</v>
      </c>
      <c r="R55" s="235">
        <v>12773</v>
      </c>
      <c r="S55" s="235">
        <v>19778</v>
      </c>
      <c r="T55" s="235">
        <v>21311</v>
      </c>
      <c r="U55" s="333"/>
      <c r="V55" s="399"/>
      <c r="W55" s="333"/>
      <c r="X55" s="333"/>
      <c r="Y55" s="333"/>
      <c r="Z55" s="333"/>
      <c r="AA55" s="333"/>
      <c r="AB55" s="333"/>
      <c r="AC55" s="333"/>
      <c r="AD55" s="298"/>
      <c r="AE55" s="298"/>
      <c r="AF55" s="298"/>
      <c r="AG55" s="298"/>
      <c r="AH55" s="298"/>
      <c r="AI55" s="298"/>
      <c r="AJ55" s="298"/>
      <c r="AK55" s="298"/>
      <c r="AL55" s="381"/>
      <c r="AM55" s="205"/>
      <c r="AN55" s="205"/>
      <c r="AO55" s="205"/>
      <c r="AP55" s="205"/>
      <c r="AQ55" s="205"/>
      <c r="AR55" s="205"/>
      <c r="AS55" s="205"/>
      <c r="AT55" s="205"/>
    </row>
    <row r="56" spans="2:46" ht="49.5" x14ac:dyDescent="0.25">
      <c r="B56" s="364"/>
      <c r="C56" s="356"/>
      <c r="D56" s="304"/>
      <c r="E56" s="304"/>
      <c r="F56" s="307"/>
      <c r="G56" s="307"/>
      <c r="H56" s="307"/>
      <c r="I56" s="307"/>
      <c r="J56" s="307"/>
      <c r="K56" s="307"/>
      <c r="L56" s="184"/>
      <c r="M56" s="126" t="s">
        <v>292</v>
      </c>
      <c r="N56" s="234" t="s">
        <v>185</v>
      </c>
      <c r="O56" s="126"/>
      <c r="P56" s="235">
        <v>57495</v>
      </c>
      <c r="Q56" s="235">
        <v>58572</v>
      </c>
      <c r="R56" s="235">
        <v>41178</v>
      </c>
      <c r="S56" s="235">
        <v>50318</v>
      </c>
      <c r="T56" s="235">
        <v>51194</v>
      </c>
      <c r="U56" s="333"/>
      <c r="V56" s="399"/>
      <c r="W56" s="333"/>
      <c r="X56" s="333"/>
      <c r="Y56" s="333"/>
      <c r="Z56" s="333"/>
      <c r="AA56" s="333"/>
      <c r="AB56" s="333"/>
      <c r="AC56" s="333"/>
      <c r="AD56" s="298"/>
      <c r="AE56" s="298"/>
      <c r="AF56" s="298"/>
      <c r="AG56" s="298"/>
      <c r="AH56" s="298"/>
      <c r="AI56" s="298"/>
      <c r="AJ56" s="298"/>
      <c r="AK56" s="298"/>
      <c r="AL56" s="381"/>
      <c r="AM56" s="205"/>
      <c r="AN56" s="205"/>
      <c r="AO56" s="205"/>
      <c r="AP56" s="205"/>
      <c r="AQ56" s="205"/>
      <c r="AR56" s="205"/>
      <c r="AS56" s="205"/>
      <c r="AT56" s="205"/>
    </row>
    <row r="57" spans="2:46" ht="33" x14ac:dyDescent="0.25">
      <c r="B57" s="364"/>
      <c r="C57" s="356"/>
      <c r="D57" s="304"/>
      <c r="E57" s="304"/>
      <c r="F57" s="307"/>
      <c r="G57" s="307"/>
      <c r="H57" s="307"/>
      <c r="I57" s="307"/>
      <c r="J57" s="307"/>
      <c r="K57" s="307"/>
      <c r="L57" s="184"/>
      <c r="M57" s="126" t="s">
        <v>293</v>
      </c>
      <c r="N57" s="234" t="s">
        <v>185</v>
      </c>
      <c r="O57" s="126"/>
      <c r="P57" s="235">
        <v>30642</v>
      </c>
      <c r="Q57" s="235">
        <v>31003</v>
      </c>
      <c r="R57" s="235">
        <v>21170</v>
      </c>
      <c r="S57" s="235">
        <v>25853</v>
      </c>
      <c r="T57" s="235">
        <v>25145</v>
      </c>
      <c r="U57" s="333"/>
      <c r="V57" s="399"/>
      <c r="W57" s="333"/>
      <c r="X57" s="333"/>
      <c r="Y57" s="333"/>
      <c r="Z57" s="333"/>
      <c r="AA57" s="333"/>
      <c r="AB57" s="333"/>
      <c r="AC57" s="333"/>
      <c r="AD57" s="298"/>
      <c r="AE57" s="298"/>
      <c r="AF57" s="298"/>
      <c r="AG57" s="298"/>
      <c r="AH57" s="298"/>
      <c r="AI57" s="298"/>
      <c r="AJ57" s="298"/>
      <c r="AK57" s="298"/>
      <c r="AL57" s="381"/>
      <c r="AM57" s="205"/>
      <c r="AN57" s="205"/>
      <c r="AO57" s="205"/>
      <c r="AP57" s="205"/>
      <c r="AQ57" s="205"/>
      <c r="AR57" s="205"/>
      <c r="AS57" s="205"/>
      <c r="AT57" s="205"/>
    </row>
    <row r="58" spans="2:46" ht="49.5" x14ac:dyDescent="0.25">
      <c r="B58" s="364"/>
      <c r="C58" s="356"/>
      <c r="D58" s="304"/>
      <c r="E58" s="304"/>
      <c r="F58" s="307"/>
      <c r="G58" s="307"/>
      <c r="H58" s="307"/>
      <c r="I58" s="307"/>
      <c r="J58" s="307"/>
      <c r="K58" s="307"/>
      <c r="L58" s="184"/>
      <c r="M58" s="126" t="s">
        <v>294</v>
      </c>
      <c r="N58" s="234" t="s">
        <v>185</v>
      </c>
      <c r="O58" s="126"/>
      <c r="P58" s="235">
        <v>76704</v>
      </c>
      <c r="Q58" s="235">
        <v>79503</v>
      </c>
      <c r="R58" s="235">
        <v>53951</v>
      </c>
      <c r="S58" s="235">
        <v>70096</v>
      </c>
      <c r="T58" s="235">
        <v>72505</v>
      </c>
      <c r="U58" s="333"/>
      <c r="V58" s="399"/>
      <c r="W58" s="333"/>
      <c r="X58" s="333"/>
      <c r="Y58" s="333"/>
      <c r="Z58" s="333"/>
      <c r="AA58" s="333"/>
      <c r="AB58" s="333"/>
      <c r="AC58" s="333"/>
      <c r="AD58" s="298"/>
      <c r="AE58" s="298"/>
      <c r="AF58" s="298"/>
      <c r="AG58" s="298"/>
      <c r="AH58" s="298"/>
      <c r="AI58" s="298"/>
      <c r="AJ58" s="298"/>
      <c r="AK58" s="298"/>
      <c r="AL58" s="381"/>
      <c r="AM58" s="205"/>
      <c r="AN58" s="205"/>
      <c r="AO58" s="205"/>
      <c r="AP58" s="205"/>
      <c r="AQ58" s="205"/>
      <c r="AR58" s="205"/>
      <c r="AS58" s="205"/>
      <c r="AT58" s="205"/>
    </row>
    <row r="59" spans="2:46" ht="33" x14ac:dyDescent="0.25">
      <c r="B59" s="364"/>
      <c r="C59" s="356"/>
      <c r="D59" s="304"/>
      <c r="E59" s="304"/>
      <c r="F59" s="307"/>
      <c r="G59" s="307"/>
      <c r="H59" s="307"/>
      <c r="I59" s="307"/>
      <c r="J59" s="307"/>
      <c r="K59" s="307"/>
      <c r="L59" s="184"/>
      <c r="M59" s="126" t="s">
        <v>295</v>
      </c>
      <c r="N59" s="234" t="s">
        <v>185</v>
      </c>
      <c r="O59" s="126"/>
      <c r="P59" s="235">
        <f>P58-P57</f>
        <v>46062</v>
      </c>
      <c r="Q59" s="235">
        <f t="shared" ref="Q59:T59" si="30">Q58-Q57</f>
        <v>48500</v>
      </c>
      <c r="R59" s="235">
        <f t="shared" si="30"/>
        <v>32781</v>
      </c>
      <c r="S59" s="235">
        <f t="shared" si="30"/>
        <v>44243</v>
      </c>
      <c r="T59" s="235">
        <f t="shared" si="30"/>
        <v>47360</v>
      </c>
      <c r="U59" s="333"/>
      <c r="V59" s="399"/>
      <c r="W59" s="333"/>
      <c r="X59" s="333"/>
      <c r="Y59" s="333"/>
      <c r="Z59" s="333"/>
      <c r="AA59" s="333"/>
      <c r="AB59" s="333"/>
      <c r="AC59" s="333"/>
      <c r="AD59" s="298"/>
      <c r="AE59" s="298"/>
      <c r="AF59" s="298"/>
      <c r="AG59" s="298"/>
      <c r="AH59" s="298"/>
      <c r="AI59" s="298"/>
      <c r="AJ59" s="298"/>
      <c r="AK59" s="298"/>
      <c r="AL59" s="381"/>
      <c r="AM59" s="205"/>
      <c r="AN59" s="205"/>
      <c r="AO59" s="205"/>
      <c r="AP59" s="205"/>
      <c r="AQ59" s="205"/>
      <c r="AR59" s="205"/>
      <c r="AS59" s="205"/>
      <c r="AT59" s="205"/>
    </row>
    <row r="60" spans="2:46" ht="49.5" x14ac:dyDescent="0.25">
      <c r="B60" s="364"/>
      <c r="C60" s="356"/>
      <c r="D60" s="304"/>
      <c r="E60" s="304"/>
      <c r="F60" s="307"/>
      <c r="G60" s="307"/>
      <c r="H60" s="307"/>
      <c r="I60" s="307"/>
      <c r="J60" s="307"/>
      <c r="K60" s="307"/>
      <c r="L60" s="184"/>
      <c r="M60" s="126" t="s">
        <v>296</v>
      </c>
      <c r="N60" s="234" t="s">
        <v>185</v>
      </c>
      <c r="O60" s="126"/>
      <c r="P60" s="235">
        <f>P56-P57</f>
        <v>26853</v>
      </c>
      <c r="Q60" s="235">
        <f t="shared" ref="Q60:T60" si="31">Q56-Q57</f>
        <v>27569</v>
      </c>
      <c r="R60" s="235">
        <f t="shared" si="31"/>
        <v>20008</v>
      </c>
      <c r="S60" s="235">
        <f t="shared" si="31"/>
        <v>24465</v>
      </c>
      <c r="T60" s="235">
        <f t="shared" si="31"/>
        <v>26049</v>
      </c>
      <c r="U60" s="333"/>
      <c r="V60" s="399"/>
      <c r="W60" s="333"/>
      <c r="X60" s="333"/>
      <c r="Y60" s="333"/>
      <c r="Z60" s="333"/>
      <c r="AA60" s="333"/>
      <c r="AB60" s="333"/>
      <c r="AC60" s="333"/>
      <c r="AD60" s="298"/>
      <c r="AE60" s="298"/>
      <c r="AF60" s="298"/>
      <c r="AG60" s="298"/>
      <c r="AH60" s="298"/>
      <c r="AI60" s="298"/>
      <c r="AJ60" s="298"/>
      <c r="AK60" s="298"/>
      <c r="AL60" s="381"/>
      <c r="AM60" s="205"/>
      <c r="AN60" s="205"/>
      <c r="AO60" s="205"/>
      <c r="AP60" s="205"/>
      <c r="AQ60" s="205"/>
      <c r="AR60" s="205"/>
      <c r="AS60" s="205"/>
      <c r="AT60" s="205"/>
    </row>
    <row r="61" spans="2:46" ht="49.5" x14ac:dyDescent="0.25">
      <c r="B61" s="364"/>
      <c r="C61" s="356"/>
      <c r="D61" s="304"/>
      <c r="E61" s="304"/>
      <c r="F61" s="307"/>
      <c r="G61" s="307"/>
      <c r="H61" s="307"/>
      <c r="I61" s="307"/>
      <c r="J61" s="307"/>
      <c r="K61" s="307"/>
      <c r="L61" s="184"/>
      <c r="M61" s="126" t="s">
        <v>297</v>
      </c>
      <c r="N61" s="126" t="s">
        <v>211</v>
      </c>
      <c r="O61" s="126"/>
      <c r="P61" s="235">
        <v>83550</v>
      </c>
      <c r="Q61" s="235">
        <v>80941</v>
      </c>
      <c r="R61" s="235">
        <v>76729</v>
      </c>
      <c r="S61" s="235">
        <v>75912</v>
      </c>
      <c r="T61" s="235">
        <v>79563</v>
      </c>
      <c r="U61" s="333"/>
      <c r="V61" s="399"/>
      <c r="W61" s="333"/>
      <c r="X61" s="333"/>
      <c r="Y61" s="333"/>
      <c r="Z61" s="333"/>
      <c r="AA61" s="333"/>
      <c r="AB61" s="333"/>
      <c r="AC61" s="333"/>
      <c r="AD61" s="298"/>
      <c r="AE61" s="298"/>
      <c r="AF61" s="298"/>
      <c r="AG61" s="298"/>
      <c r="AH61" s="298"/>
      <c r="AI61" s="298"/>
      <c r="AJ61" s="298"/>
      <c r="AK61" s="298"/>
      <c r="AL61" s="381"/>
      <c r="AM61" s="205"/>
      <c r="AN61" s="205"/>
      <c r="AO61" s="205"/>
      <c r="AP61" s="205"/>
      <c r="AQ61" s="205"/>
      <c r="AR61" s="205"/>
      <c r="AS61" s="205"/>
      <c r="AT61" s="205"/>
    </row>
    <row r="62" spans="2:46" ht="49.5" x14ac:dyDescent="0.25">
      <c r="B62" s="364"/>
      <c r="C62" s="356"/>
      <c r="D62" s="304"/>
      <c r="E62" s="304"/>
      <c r="F62" s="307"/>
      <c r="G62" s="307"/>
      <c r="H62" s="307"/>
      <c r="I62" s="307"/>
      <c r="J62" s="307"/>
      <c r="K62" s="307"/>
      <c r="L62" s="184"/>
      <c r="M62" s="126" t="s">
        <v>289</v>
      </c>
      <c r="N62" s="126" t="s">
        <v>211</v>
      </c>
      <c r="O62" s="126"/>
      <c r="P62" s="235">
        <v>239583</v>
      </c>
      <c r="Q62" s="235">
        <v>234003</v>
      </c>
      <c r="R62" s="235">
        <v>227176</v>
      </c>
      <c r="S62" s="235">
        <v>222169</v>
      </c>
      <c r="T62" s="235">
        <v>220033</v>
      </c>
      <c r="U62" s="333"/>
      <c r="V62" s="399"/>
      <c r="W62" s="333"/>
      <c r="X62" s="333"/>
      <c r="Y62" s="333"/>
      <c r="Z62" s="333"/>
      <c r="AA62" s="333"/>
      <c r="AB62" s="333"/>
      <c r="AC62" s="333"/>
      <c r="AD62" s="298"/>
      <c r="AE62" s="298"/>
      <c r="AF62" s="298"/>
      <c r="AG62" s="298"/>
      <c r="AH62" s="298"/>
      <c r="AI62" s="298"/>
      <c r="AJ62" s="298"/>
      <c r="AK62" s="298"/>
      <c r="AL62" s="381"/>
      <c r="AM62" s="205"/>
      <c r="AN62" s="205"/>
      <c r="AO62" s="205"/>
      <c r="AP62" s="205"/>
      <c r="AQ62" s="205"/>
      <c r="AR62" s="205"/>
      <c r="AS62" s="205"/>
      <c r="AT62" s="205"/>
    </row>
    <row r="63" spans="2:46" ht="33" x14ac:dyDescent="0.25">
      <c r="B63" s="364"/>
      <c r="C63" s="356"/>
      <c r="D63" s="304"/>
      <c r="E63" s="304"/>
      <c r="F63" s="307"/>
      <c r="G63" s="307"/>
      <c r="H63" s="307"/>
      <c r="I63" s="307"/>
      <c r="J63" s="307"/>
      <c r="K63" s="307"/>
      <c r="L63" s="184"/>
      <c r="M63" s="126" t="s">
        <v>290</v>
      </c>
      <c r="N63" s="126" t="s">
        <v>211</v>
      </c>
      <c r="O63" s="126"/>
      <c r="P63" s="235">
        <v>91127</v>
      </c>
      <c r="Q63" s="235">
        <v>89768</v>
      </c>
      <c r="R63" s="235">
        <v>90016</v>
      </c>
      <c r="S63" s="235">
        <v>88215</v>
      </c>
      <c r="T63" s="235">
        <v>84694</v>
      </c>
      <c r="U63" s="333"/>
      <c r="V63" s="399"/>
      <c r="W63" s="333"/>
      <c r="X63" s="333"/>
      <c r="Y63" s="333"/>
      <c r="Z63" s="333"/>
      <c r="AA63" s="333"/>
      <c r="AB63" s="333"/>
      <c r="AC63" s="333"/>
      <c r="AD63" s="298"/>
      <c r="AE63" s="298"/>
      <c r="AF63" s="298"/>
      <c r="AG63" s="298"/>
      <c r="AH63" s="298"/>
      <c r="AI63" s="298"/>
      <c r="AJ63" s="298"/>
      <c r="AK63" s="298"/>
      <c r="AL63" s="381"/>
      <c r="AM63" s="205"/>
      <c r="AN63" s="205"/>
      <c r="AO63" s="205"/>
      <c r="AP63" s="205"/>
      <c r="AQ63" s="205"/>
      <c r="AR63" s="205"/>
      <c r="AS63" s="205"/>
      <c r="AT63" s="205"/>
    </row>
    <row r="64" spans="2:46" ht="49.5" x14ac:dyDescent="0.25">
      <c r="B64" s="364"/>
      <c r="C64" s="356"/>
      <c r="D64" s="304"/>
      <c r="E64" s="304"/>
      <c r="F64" s="307"/>
      <c r="G64" s="307"/>
      <c r="H64" s="307"/>
      <c r="I64" s="307"/>
      <c r="J64" s="307"/>
      <c r="K64" s="307"/>
      <c r="L64" s="184"/>
      <c r="M64" s="126" t="s">
        <v>298</v>
      </c>
      <c r="N64" s="126" t="s">
        <v>211</v>
      </c>
      <c r="O64" s="126"/>
      <c r="P64" s="235">
        <f>P62-P63-P61</f>
        <v>64906</v>
      </c>
      <c r="Q64" s="235">
        <f t="shared" ref="Q64:T64" si="32">Q62-Q63-Q61</f>
        <v>63294</v>
      </c>
      <c r="R64" s="235">
        <f t="shared" si="32"/>
        <v>60431</v>
      </c>
      <c r="S64" s="235">
        <f t="shared" si="32"/>
        <v>58042</v>
      </c>
      <c r="T64" s="235">
        <f t="shared" si="32"/>
        <v>55776</v>
      </c>
      <c r="U64" s="333"/>
      <c r="V64" s="399"/>
      <c r="W64" s="333"/>
      <c r="X64" s="333"/>
      <c r="Y64" s="333"/>
      <c r="Z64" s="333"/>
      <c r="AA64" s="333"/>
      <c r="AB64" s="333"/>
      <c r="AC64" s="333"/>
      <c r="AD64" s="298"/>
      <c r="AE64" s="298"/>
      <c r="AF64" s="298"/>
      <c r="AG64" s="298"/>
      <c r="AH64" s="298"/>
      <c r="AI64" s="298"/>
      <c r="AJ64" s="298"/>
      <c r="AK64" s="298"/>
      <c r="AL64" s="381"/>
      <c r="AM64" s="205"/>
      <c r="AN64" s="205"/>
      <c r="AO64" s="205"/>
      <c r="AP64" s="205"/>
      <c r="AQ64" s="205"/>
      <c r="AR64" s="205"/>
      <c r="AS64" s="205"/>
      <c r="AT64" s="205"/>
    </row>
    <row r="65" spans="2:46" ht="49.5" x14ac:dyDescent="0.25">
      <c r="B65" s="366"/>
      <c r="C65" s="357"/>
      <c r="D65" s="305"/>
      <c r="E65" s="305"/>
      <c r="F65" s="308"/>
      <c r="G65" s="308"/>
      <c r="H65" s="308"/>
      <c r="I65" s="308"/>
      <c r="J65" s="308"/>
      <c r="K65" s="308"/>
      <c r="L65" s="184"/>
      <c r="M65" s="126" t="s">
        <v>291</v>
      </c>
      <c r="N65" s="126" t="s">
        <v>211</v>
      </c>
      <c r="O65" s="126"/>
      <c r="P65" s="235">
        <f>P64+P61</f>
        <v>148456</v>
      </c>
      <c r="Q65" s="235">
        <f t="shared" ref="Q65:T65" si="33">Q64+Q61</f>
        <v>144235</v>
      </c>
      <c r="R65" s="235">
        <f t="shared" si="33"/>
        <v>137160</v>
      </c>
      <c r="S65" s="235">
        <f t="shared" si="33"/>
        <v>133954</v>
      </c>
      <c r="T65" s="235">
        <f t="shared" si="33"/>
        <v>135339</v>
      </c>
      <c r="U65" s="334"/>
      <c r="V65" s="400"/>
      <c r="W65" s="334"/>
      <c r="X65" s="334"/>
      <c r="Y65" s="334"/>
      <c r="Z65" s="334"/>
      <c r="AA65" s="334"/>
      <c r="AB65" s="334"/>
      <c r="AC65" s="334"/>
      <c r="AD65" s="299"/>
      <c r="AE65" s="299"/>
      <c r="AF65" s="299"/>
      <c r="AG65" s="299"/>
      <c r="AH65" s="299"/>
      <c r="AI65" s="299"/>
      <c r="AJ65" s="299"/>
      <c r="AK65" s="299"/>
      <c r="AL65" s="382"/>
      <c r="AM65" s="205"/>
      <c r="AN65" s="205"/>
      <c r="AO65" s="205"/>
      <c r="AP65" s="205"/>
      <c r="AQ65" s="205"/>
      <c r="AR65" s="205"/>
      <c r="AS65" s="205"/>
      <c r="AT65" s="205"/>
    </row>
    <row r="66" spans="2:46" ht="49.5" x14ac:dyDescent="0.25">
      <c r="B66" s="128" t="s">
        <v>18</v>
      </c>
      <c r="C66" s="209" t="s">
        <v>64</v>
      </c>
      <c r="D66" s="210"/>
      <c r="E66" s="211"/>
      <c r="F66" s="211"/>
      <c r="G66" s="211"/>
      <c r="H66" s="211"/>
      <c r="I66" s="211"/>
      <c r="J66" s="211"/>
      <c r="K66" s="211"/>
      <c r="L66" s="210"/>
      <c r="M66" s="211"/>
      <c r="N66" s="211"/>
      <c r="O66" s="211"/>
      <c r="P66" s="214"/>
      <c r="Q66" s="214"/>
      <c r="R66" s="214"/>
      <c r="S66" s="214"/>
      <c r="T66" s="214"/>
      <c r="U66" s="214" t="str">
        <f>IF(ISBLANK('Strategic level'!M129)," ",'Strategic level'!M129)</f>
        <v xml:space="preserve"> </v>
      </c>
      <c r="V66" s="214"/>
      <c r="W66" s="214" t="str">
        <f>IF(ISBLANK('Strategic level'!O129)," ",'Strategic level'!O129)</f>
        <v xml:space="preserve"> </v>
      </c>
      <c r="X66" s="214" t="str">
        <f>IF(ISBLANK('Strategic level'!P129)," ",'Strategic level'!P129)</f>
        <v xml:space="preserve"> </v>
      </c>
      <c r="Y66" s="214" t="str">
        <f>IF(ISBLANK('Strategic level'!Q129)," ",'Strategic level'!Q129)</f>
        <v xml:space="preserve"> </v>
      </c>
      <c r="Z66" s="214" t="str">
        <f>IF(ISBLANK('Strategic level'!R129)," ",'Strategic level'!R129)</f>
        <v xml:space="preserve"> </v>
      </c>
      <c r="AA66" s="214" t="str">
        <f>IF(ISBLANK('Strategic level'!S129)," ",'Strategic level'!S129)</f>
        <v xml:space="preserve"> </v>
      </c>
      <c r="AB66" s="214" t="str">
        <f>IF(ISBLANK('Strategic level'!T129)," ",'Strategic level'!T129)</f>
        <v xml:space="preserve"> </v>
      </c>
      <c r="AC66" s="214" t="str">
        <f>IF(ISBLANK('Strategic level'!U129)," ",'Strategic level'!U129)</f>
        <v xml:space="preserve"> </v>
      </c>
      <c r="AD66" s="236">
        <f t="shared" ref="AD66:AK66" si="34">AD67+AD73+AD86+AD122</f>
        <v>50000</v>
      </c>
      <c r="AE66" s="236">
        <f t="shared" si="34"/>
        <v>11631000</v>
      </c>
      <c r="AF66" s="236">
        <f t="shared" si="34"/>
        <v>32431000</v>
      </c>
      <c r="AG66" s="236">
        <f t="shared" si="34"/>
        <v>40200000</v>
      </c>
      <c r="AH66" s="236">
        <f t="shared" si="34"/>
        <v>74562000</v>
      </c>
      <c r="AI66" s="236">
        <f t="shared" si="34"/>
        <v>100020000</v>
      </c>
      <c r="AJ66" s="236">
        <f t="shared" si="34"/>
        <v>141904000</v>
      </c>
      <c r="AK66" s="236">
        <f t="shared" si="34"/>
        <v>400798000</v>
      </c>
      <c r="AL66" s="216" t="s">
        <v>1101</v>
      </c>
      <c r="AM66" s="205"/>
      <c r="AN66" s="205"/>
      <c r="AO66" s="205"/>
      <c r="AP66" s="205"/>
      <c r="AQ66" s="205"/>
      <c r="AR66" s="205"/>
      <c r="AS66" s="205"/>
      <c r="AT66" s="205"/>
    </row>
    <row r="67" spans="2:46" ht="132" x14ac:dyDescent="0.25">
      <c r="B67" s="187" t="s">
        <v>19</v>
      </c>
      <c r="C67" s="237" t="s">
        <v>1079</v>
      </c>
      <c r="D67" s="191"/>
      <c r="E67" s="191"/>
      <c r="F67" s="191"/>
      <c r="G67" s="191"/>
      <c r="H67" s="191"/>
      <c r="I67" s="191"/>
      <c r="J67" s="191"/>
      <c r="K67" s="191"/>
      <c r="L67" s="114" t="s">
        <v>99</v>
      </c>
      <c r="M67" s="115" t="s">
        <v>911</v>
      </c>
      <c r="N67" s="115"/>
      <c r="O67" s="115"/>
      <c r="P67" s="140" t="s">
        <v>203</v>
      </c>
      <c r="Q67" s="140" t="s">
        <v>203</v>
      </c>
      <c r="R67" s="140" t="s">
        <v>203</v>
      </c>
      <c r="S67" s="140" t="s">
        <v>203</v>
      </c>
      <c r="T67" s="140" t="s">
        <v>203</v>
      </c>
      <c r="U67" s="127"/>
      <c r="V67" s="127"/>
      <c r="W67" s="127"/>
      <c r="X67" s="141">
        <f>(AE71+AE72)/(X120-W120)</f>
        <v>14666.666666666666</v>
      </c>
      <c r="Y67" s="141">
        <f>(AE71+AE72+AF71+AF72)/(Y120-X120)</f>
        <v>7333.333333333333</v>
      </c>
      <c r="Z67" s="141">
        <f>(AE71+AE72+AF71+AF72+AG71+AG72)/(Z120-Y120)</f>
        <v>6769.2307692307695</v>
      </c>
      <c r="AA67" s="141">
        <f>(AE71+AE72+AF71+AF72+AG71+AG72+AH71+AH72)/(AA120-Z120)</f>
        <v>5432.0987654320988</v>
      </c>
      <c r="AB67" s="141">
        <f>(AE71+AE72+AF71+AF72+AG71+AG72+AH71+AH72+AI71+AI72)/(AB120-AA120)</f>
        <v>8861.1111111111113</v>
      </c>
      <c r="AC67" s="141">
        <f>(AE71+AE72+AF71+AF72+AG71+AG72+AH71+AH72+AI71+AI72+AJ71+AJ72)/(AC120-AB120)</f>
        <v>5805.5555555555557</v>
      </c>
      <c r="AD67" s="238">
        <f>AD68+AD69+AD70+AD71+AD72</f>
        <v>0</v>
      </c>
      <c r="AE67" s="238">
        <f t="shared" ref="AE67:AI67" si="35">AE68+AE69+AE70+AE71+AE72</f>
        <v>11170000</v>
      </c>
      <c r="AF67" s="238">
        <f t="shared" si="35"/>
        <v>27862000</v>
      </c>
      <c r="AG67" s="238">
        <f t="shared" si="35"/>
        <v>28082000</v>
      </c>
      <c r="AH67" s="238">
        <f t="shared" si="35"/>
        <v>44928000</v>
      </c>
      <c r="AI67" s="238">
        <f t="shared" si="35"/>
        <v>50758000</v>
      </c>
      <c r="AJ67" s="238">
        <f>AJ68+AJ69+AJ70+AJ71+AJ72</f>
        <v>51088000</v>
      </c>
      <c r="AK67" s="238">
        <f>AK68+AK69+AK70+AK71+AK72</f>
        <v>213888000</v>
      </c>
      <c r="AL67" s="183" t="s">
        <v>388</v>
      </c>
      <c r="AM67" s="205"/>
      <c r="AN67" s="205"/>
      <c r="AO67" s="205"/>
      <c r="AP67" s="205"/>
      <c r="AQ67" s="205"/>
      <c r="AR67" s="205"/>
      <c r="AS67" s="205"/>
      <c r="AT67" s="205"/>
    </row>
    <row r="68" spans="2:46" ht="76.5" customHeight="1" x14ac:dyDescent="0.25">
      <c r="B68" s="184" t="s">
        <v>23</v>
      </c>
      <c r="C68" s="126" t="s">
        <v>1080</v>
      </c>
      <c r="D68" s="64" t="s">
        <v>740</v>
      </c>
      <c r="E68" s="133"/>
      <c r="F68" s="126"/>
      <c r="G68" s="126"/>
      <c r="H68" s="126"/>
      <c r="I68" s="126"/>
      <c r="J68" s="126"/>
      <c r="K68" s="126"/>
      <c r="L68" s="117" t="s">
        <v>100</v>
      </c>
      <c r="M68" s="118" t="s">
        <v>126</v>
      </c>
      <c r="N68" s="118"/>
      <c r="O68" s="118"/>
      <c r="P68" s="165" t="s">
        <v>205</v>
      </c>
      <c r="Q68" s="165" t="s">
        <v>205</v>
      </c>
      <c r="R68" s="165" t="s">
        <v>205</v>
      </c>
      <c r="S68" s="165" t="s">
        <v>205</v>
      </c>
      <c r="T68" s="165" t="s">
        <v>205</v>
      </c>
      <c r="U68" s="134"/>
      <c r="V68" s="134"/>
      <c r="W68" s="134" t="s">
        <v>362</v>
      </c>
      <c r="X68" s="134"/>
      <c r="Y68" s="134"/>
      <c r="Z68" s="134"/>
      <c r="AA68" s="134"/>
      <c r="AB68" s="134"/>
      <c r="AC68" s="134"/>
      <c r="AD68" s="219">
        <v>0</v>
      </c>
      <c r="AE68" s="219">
        <v>0</v>
      </c>
      <c r="AF68" s="219">
        <v>0</v>
      </c>
      <c r="AG68" s="219">
        <v>0</v>
      </c>
      <c r="AH68" s="219">
        <v>0</v>
      </c>
      <c r="AI68" s="219">
        <v>0</v>
      </c>
      <c r="AJ68" s="219">
        <v>0</v>
      </c>
      <c r="AK68" s="219">
        <f>SUM(AD68:AJ68)</f>
        <v>0</v>
      </c>
      <c r="AL68" s="130" t="s">
        <v>390</v>
      </c>
      <c r="AM68" s="205"/>
      <c r="AN68" s="205"/>
      <c r="AO68" s="205"/>
      <c r="AP68" s="205"/>
      <c r="AQ68" s="205"/>
      <c r="AR68" s="205"/>
      <c r="AS68" s="205"/>
      <c r="AT68" s="205"/>
    </row>
    <row r="69" spans="2:46" ht="387.75" customHeight="1" x14ac:dyDescent="0.25">
      <c r="B69" s="184" t="s">
        <v>24</v>
      </c>
      <c r="C69" s="220" t="s">
        <v>1081</v>
      </c>
      <c r="D69" s="64" t="s">
        <v>740</v>
      </c>
      <c r="E69" s="221"/>
      <c r="F69" s="221"/>
      <c r="G69" s="221"/>
      <c r="H69" s="221"/>
      <c r="I69" s="221"/>
      <c r="J69" s="221"/>
      <c r="K69" s="221"/>
      <c r="L69" s="117" t="s">
        <v>101</v>
      </c>
      <c r="M69" s="118" t="s">
        <v>154</v>
      </c>
      <c r="N69" s="118"/>
      <c r="O69" s="118"/>
      <c r="P69" s="165" t="s">
        <v>205</v>
      </c>
      <c r="Q69" s="165" t="s">
        <v>205</v>
      </c>
      <c r="R69" s="165" t="s">
        <v>205</v>
      </c>
      <c r="S69" s="165" t="s">
        <v>205</v>
      </c>
      <c r="T69" s="165" t="s">
        <v>205</v>
      </c>
      <c r="U69" s="134"/>
      <c r="V69" s="134"/>
      <c r="W69" s="134" t="s">
        <v>362</v>
      </c>
      <c r="X69" s="134" t="s">
        <v>362</v>
      </c>
      <c r="Y69" s="134"/>
      <c r="Z69" s="134"/>
      <c r="AA69" s="134"/>
      <c r="AB69" s="134"/>
      <c r="AC69" s="134"/>
      <c r="AD69" s="219">
        <v>0</v>
      </c>
      <c r="AE69" s="219">
        <f>+Variables!C14</f>
        <v>60000</v>
      </c>
      <c r="AF69" s="219">
        <f>Variables!C15*(X70-W70)</f>
        <v>32000</v>
      </c>
      <c r="AG69" s="219">
        <f>Variables!C15*(Y70-X70)</f>
        <v>32000</v>
      </c>
      <c r="AH69" s="219">
        <f>Variables!C15*(Z70-Y70)</f>
        <v>48000</v>
      </c>
      <c r="AI69" s="219">
        <f>Variables!C15*(AA70-Z70)</f>
        <v>48000</v>
      </c>
      <c r="AJ69" s="219">
        <f>Variables!C15*(AB70-AA70)</f>
        <v>48000</v>
      </c>
      <c r="AK69" s="219">
        <f>SUM(AD69:AJ69)</f>
        <v>268000</v>
      </c>
      <c r="AL69" s="130" t="s">
        <v>1100</v>
      </c>
      <c r="AM69" s="205"/>
      <c r="AN69" s="205"/>
      <c r="AO69" s="205"/>
      <c r="AP69" s="205"/>
      <c r="AQ69" s="205"/>
      <c r="AR69" s="205"/>
      <c r="AS69" s="205"/>
      <c r="AT69" s="205"/>
    </row>
    <row r="70" spans="2:46" ht="126.75" customHeight="1" x14ac:dyDescent="0.25">
      <c r="B70" s="184" t="s">
        <v>34</v>
      </c>
      <c r="C70" s="126" t="s">
        <v>1082</v>
      </c>
      <c r="D70" s="64" t="s">
        <v>740</v>
      </c>
      <c r="E70" s="126"/>
      <c r="F70" s="133"/>
      <c r="G70" s="133"/>
      <c r="H70" s="133"/>
      <c r="I70" s="133"/>
      <c r="J70" s="133"/>
      <c r="K70" s="133"/>
      <c r="L70" s="117" t="s">
        <v>102</v>
      </c>
      <c r="M70" s="118" t="s">
        <v>363</v>
      </c>
      <c r="N70" s="118"/>
      <c r="O70" s="118"/>
      <c r="P70" s="165" t="s">
        <v>203</v>
      </c>
      <c r="Q70" s="165" t="s">
        <v>203</v>
      </c>
      <c r="R70" s="165" t="s">
        <v>203</v>
      </c>
      <c r="S70" s="165" t="s">
        <v>203</v>
      </c>
      <c r="T70" s="165" t="s">
        <v>203</v>
      </c>
      <c r="U70" s="134"/>
      <c r="V70" s="134"/>
      <c r="W70" s="222">
        <f>X71</f>
        <v>1</v>
      </c>
      <c r="X70" s="222">
        <f>Y71</f>
        <v>3</v>
      </c>
      <c r="Y70" s="222">
        <f t="shared" ref="Y70:AB70" si="36">Z71</f>
        <v>5</v>
      </c>
      <c r="Z70" s="222">
        <f t="shared" si="36"/>
        <v>8</v>
      </c>
      <c r="AA70" s="222">
        <f t="shared" si="36"/>
        <v>11</v>
      </c>
      <c r="AB70" s="222">
        <f t="shared" si="36"/>
        <v>14</v>
      </c>
      <c r="AC70" s="222">
        <f>AB70+2</f>
        <v>16</v>
      </c>
      <c r="AD70" s="219"/>
      <c r="AE70" s="219">
        <f>Variables!C16*W70</f>
        <v>110000</v>
      </c>
      <c r="AF70" s="219">
        <f>Variables!C16*X70</f>
        <v>330000</v>
      </c>
      <c r="AG70" s="219">
        <f>Variables!C16*Y70</f>
        <v>550000</v>
      </c>
      <c r="AH70" s="219">
        <f>Variables!C16*Z70</f>
        <v>880000</v>
      </c>
      <c r="AI70" s="219">
        <f>Variables!C16*AA70</f>
        <v>1210000</v>
      </c>
      <c r="AJ70" s="219">
        <f>Variables!C16*AB70</f>
        <v>1540000</v>
      </c>
      <c r="AK70" s="219">
        <f>SUM(AD70:AJ70)</f>
        <v>4620000</v>
      </c>
      <c r="AL70" s="315" t="s">
        <v>914</v>
      </c>
      <c r="AM70" s="205"/>
      <c r="AN70" s="205"/>
      <c r="AO70" s="205"/>
      <c r="AP70" s="219">
        <f>ROUND(AJ70*1.04,-3)</f>
        <v>1602000</v>
      </c>
      <c r="AQ70" s="219">
        <f>ROUND(AP70*1.04,-3)</f>
        <v>1666000</v>
      </c>
      <c r="AR70" s="219">
        <f t="shared" ref="AR70:AT70" si="37">ROUND(AQ70*1.04,-3)</f>
        <v>1733000</v>
      </c>
      <c r="AS70" s="219">
        <f t="shared" si="37"/>
        <v>1802000</v>
      </c>
      <c r="AT70" s="219">
        <f t="shared" si="37"/>
        <v>1874000</v>
      </c>
    </row>
    <row r="71" spans="2:46" ht="66" x14ac:dyDescent="0.25">
      <c r="B71" s="184" t="s">
        <v>35</v>
      </c>
      <c r="C71" s="126" t="s">
        <v>65</v>
      </c>
      <c r="D71" s="64" t="s">
        <v>740</v>
      </c>
      <c r="E71" s="126"/>
      <c r="F71" s="133"/>
      <c r="G71" s="133"/>
      <c r="H71" s="133"/>
      <c r="I71" s="133"/>
      <c r="J71" s="133"/>
      <c r="K71" s="133"/>
      <c r="L71" s="117" t="s">
        <v>103</v>
      </c>
      <c r="M71" s="118" t="s">
        <v>364</v>
      </c>
      <c r="N71" s="118"/>
      <c r="O71" s="118"/>
      <c r="P71" s="165" t="s">
        <v>203</v>
      </c>
      <c r="Q71" s="165" t="s">
        <v>203</v>
      </c>
      <c r="R71" s="165" t="s">
        <v>203</v>
      </c>
      <c r="S71" s="165" t="s">
        <v>203</v>
      </c>
      <c r="T71" s="165" t="s">
        <v>203</v>
      </c>
      <c r="U71" s="134"/>
      <c r="V71" s="134"/>
      <c r="W71" s="134"/>
      <c r="X71" s="222">
        <v>1</v>
      </c>
      <c r="Y71" s="222">
        <f>X71+2</f>
        <v>3</v>
      </c>
      <c r="Z71" s="222">
        <f>Y71+2</f>
        <v>5</v>
      </c>
      <c r="AA71" s="222">
        <f t="shared" ref="AA71:AC71" si="38">Z71+3</f>
        <v>8</v>
      </c>
      <c r="AB71" s="222">
        <f t="shared" si="38"/>
        <v>11</v>
      </c>
      <c r="AC71" s="222">
        <f t="shared" si="38"/>
        <v>14</v>
      </c>
      <c r="AD71" s="219"/>
      <c r="AE71" s="219">
        <f>Variables!$C$17*(X71-W71)</f>
        <v>11000000</v>
      </c>
      <c r="AF71" s="219">
        <f>Variables!$C$17*(Y71-X71)</f>
        <v>22000000</v>
      </c>
      <c r="AG71" s="219">
        <f>Variables!$C$17*(Z71-Y71)</f>
        <v>22000000</v>
      </c>
      <c r="AH71" s="219">
        <f>Variables!$C$17*(AA71-Z71)</f>
        <v>33000000</v>
      </c>
      <c r="AI71" s="219">
        <f>Variables!$C$17*(AB71-AA71)</f>
        <v>33000000</v>
      </c>
      <c r="AJ71" s="219">
        <f>Variables!$C$17*(AC71-AB71)</f>
        <v>33000000</v>
      </c>
      <c r="AK71" s="219">
        <f>SUM(AD71:AJ71)</f>
        <v>154000000</v>
      </c>
      <c r="AL71" s="379"/>
      <c r="AM71" s="205"/>
      <c r="AN71" s="205"/>
      <c r="AO71" s="205"/>
      <c r="AP71" s="205"/>
      <c r="AQ71" s="205"/>
      <c r="AR71" s="205"/>
      <c r="AS71" s="205"/>
      <c r="AT71" s="205"/>
    </row>
    <row r="72" spans="2:46" ht="202.5" customHeight="1" x14ac:dyDescent="0.25">
      <c r="B72" s="184" t="s">
        <v>36</v>
      </c>
      <c r="C72" s="126" t="s">
        <v>1008</v>
      </c>
      <c r="D72" s="64" t="s">
        <v>740</v>
      </c>
      <c r="E72" s="126"/>
      <c r="F72" s="126"/>
      <c r="G72" s="133"/>
      <c r="H72" s="133"/>
      <c r="I72" s="133"/>
      <c r="J72" s="133"/>
      <c r="K72" s="133"/>
      <c r="L72" s="117" t="s">
        <v>104</v>
      </c>
      <c r="M72" s="118" t="s">
        <v>365</v>
      </c>
      <c r="N72" s="118"/>
      <c r="O72" s="118"/>
      <c r="P72" s="165" t="s">
        <v>203</v>
      </c>
      <c r="Q72" s="165" t="s">
        <v>203</v>
      </c>
      <c r="R72" s="165" t="s">
        <v>203</v>
      </c>
      <c r="S72" s="165" t="s">
        <v>203</v>
      </c>
      <c r="T72" s="165" t="s">
        <v>203</v>
      </c>
      <c r="U72" s="134"/>
      <c r="V72" s="134"/>
      <c r="W72" s="134"/>
      <c r="X72" s="222"/>
      <c r="Y72" s="222">
        <v>1</v>
      </c>
      <c r="Z72" s="222">
        <f>Y72+1</f>
        <v>2</v>
      </c>
      <c r="AA72" s="222">
        <f>Z72+2</f>
        <v>4</v>
      </c>
      <c r="AB72" s="222">
        <f t="shared" ref="AB72" si="39">AA72+3</f>
        <v>7</v>
      </c>
      <c r="AC72" s="222">
        <f t="shared" ref="AC72" si="40">AB72+3</f>
        <v>10</v>
      </c>
      <c r="AD72" s="219"/>
      <c r="AE72" s="219">
        <f>Variables!$C$18/2*(X72-W72)</f>
        <v>0</v>
      </c>
      <c r="AF72" s="219">
        <f>Variables!$C$18/2*(Y72-X72)</f>
        <v>5500000</v>
      </c>
      <c r="AG72" s="219">
        <f>Variables!$C$18/2*(Z72-Y72)</f>
        <v>5500000</v>
      </c>
      <c r="AH72" s="219">
        <f>Variables!$C$18/2*(AA72-Z72)</f>
        <v>11000000</v>
      </c>
      <c r="AI72" s="219">
        <f>Variables!$C$18/2*(AB72-AA72)</f>
        <v>16500000</v>
      </c>
      <c r="AJ72" s="219">
        <f>Variables!$C$18/2*(AC72-AB72)</f>
        <v>16500000</v>
      </c>
      <c r="AK72" s="219">
        <f>SUM(AD72:AJ72)</f>
        <v>55000000</v>
      </c>
      <c r="AL72" s="316"/>
      <c r="AM72" s="205"/>
      <c r="AN72" s="205"/>
      <c r="AO72" s="205"/>
      <c r="AP72" s="205"/>
      <c r="AQ72" s="205"/>
      <c r="AR72" s="205"/>
      <c r="AS72" s="205"/>
      <c r="AT72" s="205"/>
    </row>
    <row r="73" spans="2:46" ht="99" x14ac:dyDescent="0.25">
      <c r="B73" s="360" t="s">
        <v>20</v>
      </c>
      <c r="C73" s="338" t="s">
        <v>66</v>
      </c>
      <c r="D73" s="309"/>
      <c r="E73" s="309"/>
      <c r="F73" s="309"/>
      <c r="G73" s="309"/>
      <c r="H73" s="309"/>
      <c r="I73" s="309"/>
      <c r="J73" s="309"/>
      <c r="K73" s="309"/>
      <c r="L73" s="114" t="s">
        <v>105</v>
      </c>
      <c r="M73" s="115" t="s">
        <v>145</v>
      </c>
      <c r="N73" s="115" t="s">
        <v>192</v>
      </c>
      <c r="O73" s="115" t="s">
        <v>301</v>
      </c>
      <c r="P73" s="127">
        <f t="shared" ref="P73:S73" si="41">(P75+P74)/100</f>
        <v>0.14100000000000001</v>
      </c>
      <c r="Q73" s="127">
        <f t="shared" si="41"/>
        <v>0.15</v>
      </c>
      <c r="R73" s="127">
        <f t="shared" si="41"/>
        <v>0.16200000000000001</v>
      </c>
      <c r="S73" s="127">
        <f t="shared" si="41"/>
        <v>0.16500000000000001</v>
      </c>
      <c r="T73" s="127">
        <f>(T75+T74)/100</f>
        <v>0.15100000000000002</v>
      </c>
      <c r="U73" s="346">
        <f>T73*(1+_xlfn.RRI(4,$P$73,$T$73))</f>
        <v>0.15360890947472358</v>
      </c>
      <c r="V73" s="350">
        <f>+(U73+W73)/2</f>
        <v>0.15493590198906318</v>
      </c>
      <c r="W73" s="347">
        <f>U73*(1+_xlfn.RRI(4,$P$73,$T$73))</f>
        <v>0.15626289450340278</v>
      </c>
      <c r="X73" s="347">
        <f>W73*(1+2*_xlfn.RRI(4,$P$73,$T$73))</f>
        <v>0.16166257325860348</v>
      </c>
      <c r="Y73" s="347">
        <f>X73*(1+2*_xlfn.RRI(4,$P$73,$T$73))</f>
        <v>0.16724883841201485</v>
      </c>
      <c r="Z73" s="347">
        <f>Y73*1.08</f>
        <v>0.18062874548497604</v>
      </c>
      <c r="AA73" s="347">
        <f t="shared" ref="AA73:AC73" si="42">Z73*1.08</f>
        <v>0.19507904512377414</v>
      </c>
      <c r="AB73" s="347">
        <f t="shared" si="42"/>
        <v>0.21068536873367608</v>
      </c>
      <c r="AC73" s="347">
        <f t="shared" si="42"/>
        <v>0.22754019823237018</v>
      </c>
      <c r="AD73" s="320">
        <f>AD78+AD81+AD84</f>
        <v>0</v>
      </c>
      <c r="AE73" s="320">
        <f t="shared" ref="AE73:AJ73" si="43">AE78+AE81+AE84</f>
        <v>143000</v>
      </c>
      <c r="AF73" s="320">
        <f t="shared" si="43"/>
        <v>1070000</v>
      </c>
      <c r="AG73" s="320">
        <f t="shared" si="43"/>
        <v>2950000</v>
      </c>
      <c r="AH73" s="320">
        <f t="shared" si="43"/>
        <v>7300000</v>
      </c>
      <c r="AI73" s="320">
        <f t="shared" si="43"/>
        <v>12183000</v>
      </c>
      <c r="AJ73" s="320">
        <f t="shared" si="43"/>
        <v>22296000</v>
      </c>
      <c r="AK73" s="320">
        <f t="shared" ref="AK73" si="44">AK78+AK81+AK84</f>
        <v>45942000</v>
      </c>
      <c r="AL73" s="317" t="s">
        <v>388</v>
      </c>
      <c r="AM73" s="205"/>
      <c r="AN73" s="205"/>
      <c r="AO73" s="205"/>
      <c r="AP73" s="205"/>
      <c r="AQ73" s="205"/>
      <c r="AR73" s="205"/>
      <c r="AS73" s="205"/>
      <c r="AT73" s="205"/>
    </row>
    <row r="74" spans="2:46" ht="66" x14ac:dyDescent="0.25">
      <c r="B74" s="361"/>
      <c r="C74" s="339"/>
      <c r="D74" s="310"/>
      <c r="E74" s="310"/>
      <c r="F74" s="310"/>
      <c r="G74" s="310"/>
      <c r="H74" s="310"/>
      <c r="I74" s="310"/>
      <c r="J74" s="310"/>
      <c r="K74" s="310"/>
      <c r="L74" s="184"/>
      <c r="M74" s="126" t="s">
        <v>894</v>
      </c>
      <c r="N74" s="126" t="s">
        <v>192</v>
      </c>
      <c r="O74" s="126"/>
      <c r="P74" s="228">
        <v>2.8</v>
      </c>
      <c r="Q74" s="228">
        <v>3.3</v>
      </c>
      <c r="R74" s="228">
        <v>3.9</v>
      </c>
      <c r="S74" s="228">
        <v>5.5</v>
      </c>
      <c r="T74" s="228">
        <v>3.8</v>
      </c>
      <c r="U74" s="346"/>
      <c r="V74" s="351"/>
      <c r="W74" s="348"/>
      <c r="X74" s="348"/>
      <c r="Y74" s="348"/>
      <c r="Z74" s="348"/>
      <c r="AA74" s="348"/>
      <c r="AB74" s="348"/>
      <c r="AC74" s="348"/>
      <c r="AD74" s="321"/>
      <c r="AE74" s="321"/>
      <c r="AF74" s="321"/>
      <c r="AG74" s="321"/>
      <c r="AH74" s="321"/>
      <c r="AI74" s="321"/>
      <c r="AJ74" s="321"/>
      <c r="AK74" s="321"/>
      <c r="AL74" s="318"/>
      <c r="AM74" s="205"/>
      <c r="AN74" s="205"/>
      <c r="AO74" s="205"/>
      <c r="AP74" s="205"/>
      <c r="AQ74" s="205"/>
      <c r="AR74" s="205"/>
      <c r="AS74" s="205"/>
      <c r="AT74" s="205"/>
    </row>
    <row r="75" spans="2:46" ht="33" x14ac:dyDescent="0.25">
      <c r="B75" s="361"/>
      <c r="C75" s="339"/>
      <c r="D75" s="310"/>
      <c r="E75" s="310"/>
      <c r="F75" s="310"/>
      <c r="G75" s="310"/>
      <c r="H75" s="310"/>
      <c r="I75" s="310"/>
      <c r="J75" s="310"/>
      <c r="K75" s="310"/>
      <c r="L75" s="184"/>
      <c r="M75" s="126" t="s">
        <v>895</v>
      </c>
      <c r="N75" s="126" t="s">
        <v>192</v>
      </c>
      <c r="O75" s="126"/>
      <c r="P75" s="228">
        <v>11.3</v>
      </c>
      <c r="Q75" s="228">
        <v>11.7</v>
      </c>
      <c r="R75" s="228">
        <v>12.3</v>
      </c>
      <c r="S75" s="228">
        <v>11</v>
      </c>
      <c r="T75" s="228">
        <v>11.3</v>
      </c>
      <c r="U75" s="346"/>
      <c r="V75" s="351"/>
      <c r="W75" s="348"/>
      <c r="X75" s="348"/>
      <c r="Y75" s="348"/>
      <c r="Z75" s="348"/>
      <c r="AA75" s="348"/>
      <c r="AB75" s="348"/>
      <c r="AC75" s="348"/>
      <c r="AD75" s="321"/>
      <c r="AE75" s="321"/>
      <c r="AF75" s="321"/>
      <c r="AG75" s="321"/>
      <c r="AH75" s="321"/>
      <c r="AI75" s="321"/>
      <c r="AJ75" s="321"/>
      <c r="AK75" s="321"/>
      <c r="AL75" s="318"/>
      <c r="AM75" s="205"/>
      <c r="AN75" s="205"/>
      <c r="AO75" s="205"/>
      <c r="AP75" s="205"/>
      <c r="AQ75" s="205"/>
      <c r="AR75" s="205"/>
      <c r="AS75" s="205"/>
      <c r="AT75" s="205"/>
    </row>
    <row r="76" spans="2:46" ht="66" x14ac:dyDescent="0.25">
      <c r="B76" s="361"/>
      <c r="C76" s="339"/>
      <c r="D76" s="310"/>
      <c r="E76" s="310"/>
      <c r="F76" s="310"/>
      <c r="G76" s="310"/>
      <c r="H76" s="310"/>
      <c r="I76" s="310"/>
      <c r="J76" s="310"/>
      <c r="K76" s="310"/>
      <c r="L76" s="184"/>
      <c r="M76" s="126" t="s">
        <v>896</v>
      </c>
      <c r="N76" s="126" t="s">
        <v>192</v>
      </c>
      <c r="O76" s="126"/>
      <c r="P76" s="228">
        <v>3.5</v>
      </c>
      <c r="Q76" s="228">
        <v>3.1</v>
      </c>
      <c r="R76" s="228">
        <v>3.3</v>
      </c>
      <c r="S76" s="228">
        <v>2.9</v>
      </c>
      <c r="T76" s="228">
        <v>3</v>
      </c>
      <c r="U76" s="346"/>
      <c r="V76" s="351"/>
      <c r="W76" s="348"/>
      <c r="X76" s="348"/>
      <c r="Y76" s="348"/>
      <c r="Z76" s="348"/>
      <c r="AA76" s="348"/>
      <c r="AB76" s="348"/>
      <c r="AC76" s="348"/>
      <c r="AD76" s="321"/>
      <c r="AE76" s="321"/>
      <c r="AF76" s="321"/>
      <c r="AG76" s="321"/>
      <c r="AH76" s="321"/>
      <c r="AI76" s="321"/>
      <c r="AJ76" s="321"/>
      <c r="AK76" s="321"/>
      <c r="AL76" s="318"/>
      <c r="AM76" s="205"/>
      <c r="AN76" s="205"/>
      <c r="AO76" s="205"/>
      <c r="AP76" s="205"/>
      <c r="AQ76" s="205"/>
      <c r="AR76" s="205"/>
      <c r="AS76" s="205"/>
      <c r="AT76" s="205"/>
    </row>
    <row r="77" spans="2:46" ht="66" x14ac:dyDescent="0.25">
      <c r="B77" s="361"/>
      <c r="C77" s="339"/>
      <c r="D77" s="311"/>
      <c r="E77" s="311"/>
      <c r="F77" s="311"/>
      <c r="G77" s="311"/>
      <c r="H77" s="311"/>
      <c r="I77" s="311"/>
      <c r="J77" s="311"/>
      <c r="K77" s="311"/>
      <c r="L77" s="184"/>
      <c r="M77" s="126" t="s">
        <v>897</v>
      </c>
      <c r="N77" s="126" t="s">
        <v>192</v>
      </c>
      <c r="O77" s="126"/>
      <c r="P77" s="228">
        <v>0.5</v>
      </c>
      <c r="Q77" s="228">
        <v>0.5</v>
      </c>
      <c r="R77" s="228">
        <v>0.4</v>
      </c>
      <c r="S77" s="228">
        <v>0.4</v>
      </c>
      <c r="T77" s="228">
        <v>0.4</v>
      </c>
      <c r="U77" s="346"/>
      <c r="V77" s="352"/>
      <c r="W77" s="349"/>
      <c r="X77" s="349"/>
      <c r="Y77" s="349"/>
      <c r="Z77" s="349"/>
      <c r="AA77" s="349"/>
      <c r="AB77" s="349"/>
      <c r="AC77" s="349"/>
      <c r="AD77" s="322"/>
      <c r="AE77" s="322"/>
      <c r="AF77" s="322"/>
      <c r="AG77" s="322"/>
      <c r="AH77" s="322"/>
      <c r="AI77" s="322"/>
      <c r="AJ77" s="322"/>
      <c r="AK77" s="322"/>
      <c r="AL77" s="319"/>
      <c r="AM77" s="205"/>
      <c r="AN77" s="205"/>
      <c r="AO77" s="205"/>
      <c r="AP77" s="205"/>
      <c r="AQ77" s="205"/>
      <c r="AR77" s="205"/>
      <c r="AS77" s="205"/>
      <c r="AT77" s="205"/>
    </row>
    <row r="78" spans="2:46" ht="49.5" x14ac:dyDescent="0.25">
      <c r="B78" s="359" t="s">
        <v>25</v>
      </c>
      <c r="C78" s="335" t="s">
        <v>1003</v>
      </c>
      <c r="D78" s="303" t="s">
        <v>740</v>
      </c>
      <c r="E78" s="303"/>
      <c r="F78" s="306"/>
      <c r="G78" s="306"/>
      <c r="H78" s="306"/>
      <c r="I78" s="306"/>
      <c r="J78" s="306"/>
      <c r="K78" s="306"/>
      <c r="L78" s="117" t="s">
        <v>106</v>
      </c>
      <c r="M78" s="118" t="s">
        <v>129</v>
      </c>
      <c r="N78" s="118"/>
      <c r="O78" s="118"/>
      <c r="P78" s="165" t="s">
        <v>203</v>
      </c>
      <c r="Q78" s="165" t="s">
        <v>203</v>
      </c>
      <c r="R78" s="165" t="s">
        <v>203</v>
      </c>
      <c r="S78" s="165" t="s">
        <v>203</v>
      </c>
      <c r="T78" s="165" t="s">
        <v>203</v>
      </c>
      <c r="U78" s="134"/>
      <c r="V78" s="134"/>
      <c r="W78" s="204"/>
      <c r="X78" s="239">
        <f>(X71+X72)*20*5</f>
        <v>100</v>
      </c>
      <c r="Y78" s="239">
        <f t="shared" ref="Y78:AC78" si="45">(Y71+Y72)*20*5</f>
        <v>400</v>
      </c>
      <c r="Z78" s="239">
        <f t="shared" si="45"/>
        <v>700</v>
      </c>
      <c r="AA78" s="239">
        <f t="shared" si="45"/>
        <v>1200</v>
      </c>
      <c r="AB78" s="239">
        <f t="shared" si="45"/>
        <v>1800</v>
      </c>
      <c r="AC78" s="239">
        <f t="shared" si="45"/>
        <v>2400</v>
      </c>
      <c r="AD78" s="297"/>
      <c r="AE78" s="297">
        <f>ROUND(X80*X118*0.75*0.18,-3)</f>
        <v>61000</v>
      </c>
      <c r="AF78" s="297">
        <f t="shared" ref="AF78:AJ78" si="46">ROUND(Y80*Y118*0.75*0.18,-3)</f>
        <v>544000</v>
      </c>
      <c r="AG78" s="297">
        <f t="shared" si="46"/>
        <v>1600000</v>
      </c>
      <c r="AH78" s="297">
        <f t="shared" si="46"/>
        <v>4097000</v>
      </c>
      <c r="AI78" s="297">
        <f t="shared" si="46"/>
        <v>6883000</v>
      </c>
      <c r="AJ78" s="297">
        <f t="shared" si="46"/>
        <v>12847000</v>
      </c>
      <c r="AK78" s="297">
        <f>SUM(AD78:AJ78)</f>
        <v>26032000</v>
      </c>
      <c r="AL78" s="315" t="s">
        <v>1099</v>
      </c>
      <c r="AM78" s="205"/>
      <c r="AN78" s="205"/>
      <c r="AO78" s="205"/>
      <c r="AP78" s="205"/>
      <c r="AQ78" s="205"/>
      <c r="AR78" s="205"/>
      <c r="AS78" s="205"/>
      <c r="AT78" s="205"/>
    </row>
    <row r="79" spans="2:46" ht="49.5" x14ac:dyDescent="0.25">
      <c r="B79" s="359"/>
      <c r="C79" s="336"/>
      <c r="D79" s="304"/>
      <c r="E79" s="304"/>
      <c r="F79" s="307"/>
      <c r="G79" s="307"/>
      <c r="H79" s="307"/>
      <c r="I79" s="307"/>
      <c r="J79" s="307"/>
      <c r="K79" s="307"/>
      <c r="L79" s="117" t="s">
        <v>127</v>
      </c>
      <c r="M79" s="118" t="s">
        <v>1083</v>
      </c>
      <c r="N79" s="118"/>
      <c r="O79" s="118"/>
      <c r="P79" s="165" t="s">
        <v>203</v>
      </c>
      <c r="Q79" s="165" t="s">
        <v>203</v>
      </c>
      <c r="R79" s="165" t="s">
        <v>203</v>
      </c>
      <c r="S79" s="165" t="s">
        <v>203</v>
      </c>
      <c r="T79" s="165" t="s">
        <v>203</v>
      </c>
      <c r="U79" s="134"/>
      <c r="V79" s="134"/>
      <c r="W79" s="204"/>
      <c r="X79" s="177">
        <f>AE78/0.1</f>
        <v>610000</v>
      </c>
      <c r="Y79" s="177">
        <f t="shared" ref="Y79:AC79" si="47">AF78/0.1</f>
        <v>5440000</v>
      </c>
      <c r="Z79" s="177">
        <f t="shared" si="47"/>
        <v>16000000</v>
      </c>
      <c r="AA79" s="177">
        <f t="shared" si="47"/>
        <v>40970000</v>
      </c>
      <c r="AB79" s="177">
        <f t="shared" si="47"/>
        <v>68830000</v>
      </c>
      <c r="AC79" s="177">
        <f t="shared" si="47"/>
        <v>128470000</v>
      </c>
      <c r="AD79" s="298"/>
      <c r="AE79" s="298"/>
      <c r="AF79" s="298"/>
      <c r="AG79" s="298"/>
      <c r="AH79" s="298"/>
      <c r="AI79" s="298"/>
      <c r="AJ79" s="298"/>
      <c r="AK79" s="298"/>
      <c r="AL79" s="379"/>
      <c r="AM79" s="205"/>
      <c r="AN79" s="205"/>
      <c r="AO79" s="205"/>
      <c r="AP79" s="205"/>
      <c r="AQ79" s="205"/>
      <c r="AR79" s="205"/>
      <c r="AS79" s="205"/>
      <c r="AT79" s="205"/>
    </row>
    <row r="80" spans="2:46" ht="192.75" customHeight="1" x14ac:dyDescent="0.25">
      <c r="B80" s="359"/>
      <c r="C80" s="337"/>
      <c r="D80" s="305"/>
      <c r="E80" s="305"/>
      <c r="F80" s="308"/>
      <c r="G80" s="308"/>
      <c r="H80" s="308"/>
      <c r="I80" s="308"/>
      <c r="J80" s="308"/>
      <c r="K80" s="308"/>
      <c r="L80" s="117" t="s">
        <v>133</v>
      </c>
      <c r="M80" s="118" t="s">
        <v>369</v>
      </c>
      <c r="N80" s="118"/>
      <c r="O80" s="118"/>
      <c r="P80" s="165" t="s">
        <v>203</v>
      </c>
      <c r="Q80" s="165" t="s">
        <v>203</v>
      </c>
      <c r="R80" s="165" t="s">
        <v>203</v>
      </c>
      <c r="S80" s="165" t="s">
        <v>203</v>
      </c>
      <c r="T80" s="165" t="s">
        <v>203</v>
      </c>
      <c r="U80" s="134"/>
      <c r="V80" s="134"/>
      <c r="W80" s="177">
        <f>90000000/1000</f>
        <v>90000</v>
      </c>
      <c r="X80" s="177">
        <f>90000000/1000</f>
        <v>90000</v>
      </c>
      <c r="Y80" s="177">
        <f>X80*1.12</f>
        <v>100800.00000000001</v>
      </c>
      <c r="Z80" s="177">
        <f t="shared" ref="Z80:AC80" si="48">Y80*1.12</f>
        <v>112896.00000000003</v>
      </c>
      <c r="AA80" s="177">
        <f t="shared" si="48"/>
        <v>126443.52000000005</v>
      </c>
      <c r="AB80" s="177">
        <f t="shared" si="48"/>
        <v>141616.74240000008</v>
      </c>
      <c r="AC80" s="177">
        <f t="shared" si="48"/>
        <v>158610.7514880001</v>
      </c>
      <c r="AD80" s="299"/>
      <c r="AE80" s="299"/>
      <c r="AF80" s="299"/>
      <c r="AG80" s="299"/>
      <c r="AH80" s="299"/>
      <c r="AI80" s="299"/>
      <c r="AJ80" s="299"/>
      <c r="AK80" s="299"/>
      <c r="AL80" s="316"/>
      <c r="AM80" s="205"/>
      <c r="AN80" s="205"/>
      <c r="AO80" s="205"/>
      <c r="AP80" s="205"/>
      <c r="AQ80" s="205"/>
      <c r="AR80" s="205"/>
      <c r="AS80" s="205"/>
      <c r="AT80" s="205"/>
    </row>
    <row r="81" spans="2:46" ht="49.5" x14ac:dyDescent="0.25">
      <c r="B81" s="359" t="s">
        <v>26</v>
      </c>
      <c r="C81" s="335" t="s">
        <v>1084</v>
      </c>
      <c r="D81" s="303" t="s">
        <v>740</v>
      </c>
      <c r="E81" s="303"/>
      <c r="F81" s="193"/>
      <c r="G81" s="193"/>
      <c r="H81" s="193"/>
      <c r="I81" s="193"/>
      <c r="J81" s="193"/>
      <c r="K81" s="193"/>
      <c r="L81" s="117" t="s">
        <v>107</v>
      </c>
      <c r="M81" s="118" t="s">
        <v>131</v>
      </c>
      <c r="N81" s="118"/>
      <c r="O81" s="118"/>
      <c r="P81" s="165" t="s">
        <v>203</v>
      </c>
      <c r="Q81" s="165" t="s">
        <v>203</v>
      </c>
      <c r="R81" s="165" t="s">
        <v>203</v>
      </c>
      <c r="S81" s="165" t="s">
        <v>203</v>
      </c>
      <c r="T81" s="165" t="s">
        <v>203</v>
      </c>
      <c r="U81" s="134"/>
      <c r="V81" s="134"/>
      <c r="W81" s="204"/>
      <c r="X81" s="239">
        <f>X118*1</f>
        <v>5</v>
      </c>
      <c r="Y81" s="239">
        <f t="shared" ref="Y81:AC81" si="49">Y118*1</f>
        <v>40</v>
      </c>
      <c r="Z81" s="239">
        <f t="shared" si="49"/>
        <v>105</v>
      </c>
      <c r="AA81" s="239">
        <f t="shared" si="49"/>
        <v>240</v>
      </c>
      <c r="AB81" s="239">
        <f t="shared" si="49"/>
        <v>360</v>
      </c>
      <c r="AC81" s="239">
        <f t="shared" si="49"/>
        <v>600</v>
      </c>
      <c r="AD81" s="297"/>
      <c r="AE81" s="297">
        <f t="shared" ref="AE81:AJ81" si="50">ROUND(X83*X118*0.75*0.2,-3)</f>
        <v>38000</v>
      </c>
      <c r="AF81" s="297">
        <f t="shared" si="50"/>
        <v>336000</v>
      </c>
      <c r="AG81" s="297">
        <f t="shared" si="50"/>
        <v>988000</v>
      </c>
      <c r="AH81" s="297">
        <f t="shared" si="50"/>
        <v>2529000</v>
      </c>
      <c r="AI81" s="297">
        <f t="shared" si="50"/>
        <v>4249000</v>
      </c>
      <c r="AJ81" s="297">
        <f t="shared" si="50"/>
        <v>7931000</v>
      </c>
      <c r="AK81" s="297">
        <f>SUM(AD81:AJ81)</f>
        <v>16071000</v>
      </c>
      <c r="AL81" s="315" t="s">
        <v>1098</v>
      </c>
      <c r="AM81" s="205"/>
      <c r="AN81" s="205"/>
      <c r="AO81" s="205"/>
      <c r="AP81" s="205"/>
      <c r="AQ81" s="205"/>
      <c r="AR81" s="205"/>
      <c r="AS81" s="205"/>
      <c r="AT81" s="205"/>
    </row>
    <row r="82" spans="2:46" ht="49.5" x14ac:dyDescent="0.25">
      <c r="B82" s="359"/>
      <c r="C82" s="336"/>
      <c r="D82" s="304"/>
      <c r="E82" s="304"/>
      <c r="F82" s="194"/>
      <c r="G82" s="194"/>
      <c r="H82" s="194"/>
      <c r="I82" s="194"/>
      <c r="J82" s="194"/>
      <c r="K82" s="194"/>
      <c r="L82" s="117" t="s">
        <v>130</v>
      </c>
      <c r="M82" s="118" t="s">
        <v>132</v>
      </c>
      <c r="N82" s="118"/>
      <c r="O82" s="118"/>
      <c r="P82" s="165" t="s">
        <v>203</v>
      </c>
      <c r="Q82" s="165" t="s">
        <v>203</v>
      </c>
      <c r="R82" s="165" t="s">
        <v>203</v>
      </c>
      <c r="S82" s="165" t="s">
        <v>203</v>
      </c>
      <c r="T82" s="165" t="s">
        <v>203</v>
      </c>
      <c r="U82" s="134"/>
      <c r="V82" s="134"/>
      <c r="W82" s="204"/>
      <c r="X82" s="177">
        <f>AE81/0.1</f>
        <v>380000</v>
      </c>
      <c r="Y82" s="177">
        <f t="shared" ref="Y82:AC82" si="51">AF81/0.1</f>
        <v>3360000</v>
      </c>
      <c r="Z82" s="177">
        <f t="shared" si="51"/>
        <v>9880000</v>
      </c>
      <c r="AA82" s="177">
        <f t="shared" si="51"/>
        <v>25290000</v>
      </c>
      <c r="AB82" s="177">
        <f t="shared" si="51"/>
        <v>42490000</v>
      </c>
      <c r="AC82" s="177">
        <f t="shared" si="51"/>
        <v>79310000</v>
      </c>
      <c r="AD82" s="298"/>
      <c r="AE82" s="298"/>
      <c r="AF82" s="298"/>
      <c r="AG82" s="298"/>
      <c r="AH82" s="298"/>
      <c r="AI82" s="298"/>
      <c r="AJ82" s="298"/>
      <c r="AK82" s="298"/>
      <c r="AL82" s="379"/>
      <c r="AM82" s="205"/>
      <c r="AN82" s="205"/>
      <c r="AO82" s="205"/>
      <c r="AP82" s="205"/>
      <c r="AQ82" s="205"/>
      <c r="AR82" s="205"/>
      <c r="AS82" s="205"/>
      <c r="AT82" s="205"/>
    </row>
    <row r="83" spans="2:46" ht="160.5" customHeight="1" x14ac:dyDescent="0.25">
      <c r="B83" s="359"/>
      <c r="C83" s="337"/>
      <c r="D83" s="305"/>
      <c r="E83" s="305"/>
      <c r="F83" s="195"/>
      <c r="G83" s="195"/>
      <c r="H83" s="195"/>
      <c r="I83" s="195"/>
      <c r="J83" s="195"/>
      <c r="K83" s="195"/>
      <c r="L83" s="117" t="s">
        <v>135</v>
      </c>
      <c r="M83" s="118" t="s">
        <v>136</v>
      </c>
      <c r="N83" s="118"/>
      <c r="O83" s="118"/>
      <c r="P83" s="165" t="s">
        <v>203</v>
      </c>
      <c r="Q83" s="165" t="s">
        <v>203</v>
      </c>
      <c r="R83" s="165" t="s">
        <v>203</v>
      </c>
      <c r="S83" s="165" t="s">
        <v>203</v>
      </c>
      <c r="T83" s="165" t="s">
        <v>203</v>
      </c>
      <c r="U83" s="134"/>
      <c r="V83" s="134"/>
      <c r="W83" s="177">
        <f>50000000/1000</f>
        <v>50000</v>
      </c>
      <c r="X83" s="177">
        <f>50000000/1000</f>
        <v>50000</v>
      </c>
      <c r="Y83" s="177">
        <f>X83*1.12</f>
        <v>56000.000000000007</v>
      </c>
      <c r="Z83" s="177">
        <f t="shared" ref="Z83:AC83" si="52">Y83*1.12</f>
        <v>62720.000000000015</v>
      </c>
      <c r="AA83" s="177">
        <f t="shared" si="52"/>
        <v>70246.400000000023</v>
      </c>
      <c r="AB83" s="177">
        <f t="shared" si="52"/>
        <v>78675.968000000037</v>
      </c>
      <c r="AC83" s="177">
        <f t="shared" si="52"/>
        <v>88117.084160000057</v>
      </c>
      <c r="AD83" s="299"/>
      <c r="AE83" s="299"/>
      <c r="AF83" s="299"/>
      <c r="AG83" s="299"/>
      <c r="AH83" s="299"/>
      <c r="AI83" s="299"/>
      <c r="AJ83" s="299"/>
      <c r="AK83" s="299"/>
      <c r="AL83" s="316"/>
      <c r="AM83" s="205"/>
      <c r="AN83" s="205"/>
      <c r="AO83" s="205"/>
      <c r="AP83" s="205"/>
      <c r="AQ83" s="205"/>
      <c r="AR83" s="205"/>
      <c r="AS83" s="205"/>
      <c r="AT83" s="205"/>
    </row>
    <row r="84" spans="2:46" ht="49.5" x14ac:dyDescent="0.25">
      <c r="B84" s="359" t="s">
        <v>37</v>
      </c>
      <c r="C84" s="335" t="s">
        <v>67</v>
      </c>
      <c r="D84" s="303" t="s">
        <v>740</v>
      </c>
      <c r="E84" s="303"/>
      <c r="F84" s="306"/>
      <c r="G84" s="306"/>
      <c r="H84" s="306"/>
      <c r="I84" s="306"/>
      <c r="J84" s="306"/>
      <c r="K84" s="306"/>
      <c r="L84" s="117" t="s">
        <v>108</v>
      </c>
      <c r="M84" s="118" t="s">
        <v>138</v>
      </c>
      <c r="N84" s="118"/>
      <c r="O84" s="118"/>
      <c r="P84" s="165" t="s">
        <v>203</v>
      </c>
      <c r="Q84" s="165" t="s">
        <v>203</v>
      </c>
      <c r="R84" s="165" t="s">
        <v>203</v>
      </c>
      <c r="S84" s="165" t="s">
        <v>203</v>
      </c>
      <c r="T84" s="165" t="s">
        <v>203</v>
      </c>
      <c r="U84" s="134"/>
      <c r="V84" s="134"/>
      <c r="W84" s="204"/>
      <c r="X84" s="239">
        <f>X118*1</f>
        <v>5</v>
      </c>
      <c r="Y84" s="239">
        <f t="shared" ref="Y84:AC84" si="53">Y118*1</f>
        <v>40</v>
      </c>
      <c r="Z84" s="239">
        <f t="shared" si="53"/>
        <v>105</v>
      </c>
      <c r="AA84" s="239">
        <f t="shared" si="53"/>
        <v>240</v>
      </c>
      <c r="AB84" s="239">
        <f t="shared" si="53"/>
        <v>360</v>
      </c>
      <c r="AC84" s="239">
        <f t="shared" si="53"/>
        <v>600</v>
      </c>
      <c r="AD84" s="297"/>
      <c r="AE84" s="297">
        <f>ROUND(X85*Variables!C19*1.04^1,-3)</f>
        <v>44000</v>
      </c>
      <c r="AF84" s="297">
        <f>ROUND(Y85*Variables!C19*1.04^2,-3)</f>
        <v>190000</v>
      </c>
      <c r="AG84" s="297">
        <f>ROUND(Z85*Variables!C19*1.04^3,-3)</f>
        <v>362000</v>
      </c>
      <c r="AH84" s="297">
        <f>ROUND(AA85*Variables!C19*1.04^4,-3)</f>
        <v>674000</v>
      </c>
      <c r="AI84" s="297">
        <f>ROUND(AB85*Variables!C19*1.04^5,-3)</f>
        <v>1051000</v>
      </c>
      <c r="AJ84" s="297">
        <f>ROUND(AC85*Variables!C19*1.04^6,-3)</f>
        <v>1518000</v>
      </c>
      <c r="AK84" s="297">
        <f>SUM(AD84:AJ84)</f>
        <v>3839000</v>
      </c>
      <c r="AL84" s="315" t="s">
        <v>1097</v>
      </c>
      <c r="AM84" s="205"/>
      <c r="AN84" s="205"/>
      <c r="AO84" s="205"/>
      <c r="AP84" s="205"/>
      <c r="AQ84" s="205"/>
      <c r="AR84" s="205"/>
      <c r="AS84" s="205"/>
      <c r="AT84" s="205"/>
    </row>
    <row r="85" spans="2:46" ht="265.5" customHeight="1" x14ac:dyDescent="0.25">
      <c r="B85" s="359"/>
      <c r="C85" s="337"/>
      <c r="D85" s="305"/>
      <c r="E85" s="305"/>
      <c r="F85" s="308"/>
      <c r="G85" s="308"/>
      <c r="H85" s="308"/>
      <c r="I85" s="308"/>
      <c r="J85" s="308"/>
      <c r="K85" s="308"/>
      <c r="L85" s="117" t="s">
        <v>137</v>
      </c>
      <c r="M85" s="118" t="s">
        <v>391</v>
      </c>
      <c r="N85" s="118"/>
      <c r="O85" s="118"/>
      <c r="P85" s="165" t="s">
        <v>203</v>
      </c>
      <c r="Q85" s="165" t="s">
        <v>203</v>
      </c>
      <c r="R85" s="165" t="s">
        <v>203</v>
      </c>
      <c r="S85" s="165" t="s">
        <v>203</v>
      </c>
      <c r="T85" s="165" t="s">
        <v>203</v>
      </c>
      <c r="U85" s="134"/>
      <c r="V85" s="134"/>
      <c r="W85" s="204"/>
      <c r="X85" s="239">
        <f>X78+X81</f>
        <v>105</v>
      </c>
      <c r="Y85" s="239">
        <f t="shared" ref="Y85:AC85" si="54">Y78+Y81</f>
        <v>440</v>
      </c>
      <c r="Z85" s="239">
        <f t="shared" si="54"/>
        <v>805</v>
      </c>
      <c r="AA85" s="239">
        <f t="shared" si="54"/>
        <v>1440</v>
      </c>
      <c r="AB85" s="239">
        <f t="shared" si="54"/>
        <v>2160</v>
      </c>
      <c r="AC85" s="239">
        <f t="shared" si="54"/>
        <v>3000</v>
      </c>
      <c r="AD85" s="299"/>
      <c r="AE85" s="299"/>
      <c r="AF85" s="299"/>
      <c r="AG85" s="299"/>
      <c r="AH85" s="299"/>
      <c r="AI85" s="299"/>
      <c r="AJ85" s="299"/>
      <c r="AK85" s="299"/>
      <c r="AL85" s="316"/>
      <c r="AM85" s="205"/>
      <c r="AN85" s="205"/>
      <c r="AO85" s="205"/>
      <c r="AP85" s="205"/>
      <c r="AQ85" s="205"/>
      <c r="AR85" s="205"/>
      <c r="AS85" s="205"/>
      <c r="AT85" s="205"/>
    </row>
    <row r="86" spans="2:46" ht="99" x14ac:dyDescent="0.25">
      <c r="B86" s="360" t="s">
        <v>21</v>
      </c>
      <c r="C86" s="338" t="s">
        <v>1009</v>
      </c>
      <c r="D86" s="309"/>
      <c r="E86" s="309"/>
      <c r="F86" s="309"/>
      <c r="G86" s="309"/>
      <c r="H86" s="309"/>
      <c r="I86" s="309"/>
      <c r="J86" s="309"/>
      <c r="K86" s="309"/>
      <c r="L86" s="114" t="s">
        <v>109</v>
      </c>
      <c r="M86" s="115" t="s">
        <v>143</v>
      </c>
      <c r="N86" s="115" t="s">
        <v>206</v>
      </c>
      <c r="O86" s="115" t="s">
        <v>302</v>
      </c>
      <c r="P86" s="127">
        <f>SUM(P108:P109)/P112</f>
        <v>0.10011138580754225</v>
      </c>
      <c r="Q86" s="140"/>
      <c r="R86" s="140"/>
      <c r="S86" s="127">
        <f>SUM(S108:S109)/S112</f>
        <v>0.10752376365408568</v>
      </c>
      <c r="T86" s="127">
        <f>SUM(T108:T109)/T112</f>
        <v>0.10421314082467195</v>
      </c>
      <c r="U86" s="346">
        <f>T86*(1+_xlfn.RRI(4,$P$86,$T$86))</f>
        <v>0.10526457419265105</v>
      </c>
      <c r="V86" s="350">
        <f>+(U86+W86)/2</f>
        <v>0.10579559496842092</v>
      </c>
      <c r="W86" s="346">
        <f>U86*(1+_xlfn.RRI(4,$P$86,$T$86))</f>
        <v>0.10632661574419079</v>
      </c>
      <c r="X86" s="347">
        <f>W86*(1+_xlfn.RRI(7,'Strategic level'!$M$35,'Strategic level'!$U$35)*_xlfn.RRI(4,$P$86,$T$86)/-_xlfn.RRI(4,'Strategic level'!$H$35,'Strategic level'!$L$35))</f>
        <v>0.11293081370557755</v>
      </c>
      <c r="Y86" s="347">
        <f>X86*(1+_xlfn.RRI(7,'Strategic level'!$M$35,'Strategic level'!$U$35)*_xlfn.RRI(4,$P$86,$T$86)/-_xlfn.RRI(4,'Strategic level'!$H$35,'Strategic level'!$L$35))</f>
        <v>0.11994521404581286</v>
      </c>
      <c r="Z86" s="347">
        <f>Y86*(1+_xlfn.RRI(7,'Strategic level'!$M$35,'Strategic level'!$U$35)*_xlfn.RRI(4,$P$86,$T$86)/-_xlfn.RRI(4,'Strategic level'!$H$35,'Strategic level'!$L$35))</f>
        <v>0.12739529540629982</v>
      </c>
      <c r="AA86" s="347">
        <f>Z86*(1+_xlfn.RRI(7,'Strategic level'!$M$35,'Strategic level'!$U$35)*_xlfn.RRI(4,$P$86,$T$86)/-_xlfn.RRI(4,'Strategic level'!$H$35,'Strategic level'!$L$35))</f>
        <v>0.13530811896721068</v>
      </c>
      <c r="AB86" s="347">
        <f>AA86*(1+_xlfn.RRI(7,'Strategic level'!$M$35,'Strategic level'!$U$35)*_xlfn.RRI(4,$P$86,$T$86)/-_xlfn.RRI(4,'Strategic level'!$H$35,'Strategic level'!$L$35))</f>
        <v>0.14371242674271845</v>
      </c>
      <c r="AC86" s="350">
        <f>AB86*(1+_xlfn.RRI(7,'Strategic level'!$M$35,'Strategic level'!$U$35)*_xlfn.RRI(4,$P$86,$T$86)/-_xlfn.RRI(4,'Strategic level'!$H$35,'Strategic level'!$L$35))</f>
        <v>0.15263874598157806</v>
      </c>
      <c r="AD86" s="320">
        <f>AD113+AD117+AD118</f>
        <v>50000</v>
      </c>
      <c r="AE86" s="320">
        <f t="shared" ref="AE86:AJ86" si="55">AE113+AE117+AE118</f>
        <v>318000</v>
      </c>
      <c r="AF86" s="320">
        <f t="shared" si="55"/>
        <v>2847000</v>
      </c>
      <c r="AG86" s="320">
        <f t="shared" si="55"/>
        <v>8371000</v>
      </c>
      <c r="AH86" s="320">
        <f t="shared" si="55"/>
        <v>21254000</v>
      </c>
      <c r="AI86" s="320">
        <f t="shared" si="55"/>
        <v>35444000</v>
      </c>
      <c r="AJ86" s="320">
        <f t="shared" si="55"/>
        <v>65724000</v>
      </c>
      <c r="AK86" s="320">
        <f t="shared" ref="AK86" si="56">AK113+AK117+AK118</f>
        <v>134008000</v>
      </c>
      <c r="AL86" s="317" t="s">
        <v>388</v>
      </c>
      <c r="AM86" s="205"/>
      <c r="AN86" s="205"/>
      <c r="AO86" s="205"/>
      <c r="AP86" s="205"/>
      <c r="AQ86" s="205"/>
      <c r="AR86" s="205"/>
      <c r="AS86" s="205"/>
      <c r="AT86" s="205"/>
    </row>
    <row r="87" spans="2:46" ht="33" x14ac:dyDescent="0.25">
      <c r="B87" s="361"/>
      <c r="C87" s="339"/>
      <c r="D87" s="310"/>
      <c r="E87" s="310"/>
      <c r="F87" s="310"/>
      <c r="G87" s="310"/>
      <c r="H87" s="310"/>
      <c r="I87" s="310"/>
      <c r="J87" s="310"/>
      <c r="K87" s="310"/>
      <c r="L87" s="184"/>
      <c r="M87" s="126" t="s">
        <v>898</v>
      </c>
      <c r="N87" s="234" t="s">
        <v>184</v>
      </c>
      <c r="O87" s="126"/>
      <c r="P87" s="240">
        <f>SUM(P88:P91)</f>
        <v>44093</v>
      </c>
      <c r="Q87" s="235"/>
      <c r="R87" s="235"/>
      <c r="S87" s="240">
        <f>SUM(S88:S91)</f>
        <v>44042</v>
      </c>
      <c r="T87" s="240">
        <f>SUM(T88:T91)</f>
        <v>62481</v>
      </c>
      <c r="U87" s="346"/>
      <c r="V87" s="351"/>
      <c r="W87" s="346"/>
      <c r="X87" s="348"/>
      <c r="Y87" s="348"/>
      <c r="Z87" s="348"/>
      <c r="AA87" s="348"/>
      <c r="AB87" s="348"/>
      <c r="AC87" s="351"/>
      <c r="AD87" s="321"/>
      <c r="AE87" s="321"/>
      <c r="AF87" s="321"/>
      <c r="AG87" s="321"/>
      <c r="AH87" s="321"/>
      <c r="AI87" s="321"/>
      <c r="AJ87" s="321"/>
      <c r="AK87" s="321"/>
      <c r="AL87" s="318"/>
      <c r="AM87" s="205"/>
      <c r="AN87" s="205"/>
      <c r="AO87" s="205"/>
      <c r="AP87" s="205"/>
      <c r="AQ87" s="205"/>
      <c r="AR87" s="205"/>
      <c r="AS87" s="205"/>
      <c r="AT87" s="205"/>
    </row>
    <row r="88" spans="2:46" ht="49.5" x14ac:dyDescent="0.25">
      <c r="B88" s="361"/>
      <c r="C88" s="339"/>
      <c r="D88" s="310"/>
      <c r="E88" s="310"/>
      <c r="F88" s="310"/>
      <c r="G88" s="310"/>
      <c r="H88" s="310"/>
      <c r="I88" s="310"/>
      <c r="J88" s="310"/>
      <c r="K88" s="310"/>
      <c r="L88" s="184"/>
      <c r="M88" s="126" t="s">
        <v>899</v>
      </c>
      <c r="N88" s="126" t="s">
        <v>206</v>
      </c>
      <c r="O88" s="126"/>
      <c r="P88" s="241">
        <v>684</v>
      </c>
      <c r="Q88" s="241"/>
      <c r="R88" s="241"/>
      <c r="S88" s="241">
        <v>1325</v>
      </c>
      <c r="T88" s="241">
        <v>1926</v>
      </c>
      <c r="U88" s="346"/>
      <c r="V88" s="351"/>
      <c r="W88" s="346"/>
      <c r="X88" s="348"/>
      <c r="Y88" s="348"/>
      <c r="Z88" s="348"/>
      <c r="AA88" s="348"/>
      <c r="AB88" s="348"/>
      <c r="AC88" s="351"/>
      <c r="AD88" s="321"/>
      <c r="AE88" s="321"/>
      <c r="AF88" s="321"/>
      <c r="AG88" s="321"/>
      <c r="AH88" s="321"/>
      <c r="AI88" s="321"/>
      <c r="AJ88" s="321"/>
      <c r="AK88" s="321"/>
      <c r="AL88" s="318"/>
      <c r="AM88" s="205"/>
      <c r="AN88" s="205"/>
      <c r="AO88" s="205"/>
      <c r="AP88" s="205"/>
      <c r="AQ88" s="205"/>
      <c r="AR88" s="205"/>
      <c r="AS88" s="205"/>
      <c r="AT88" s="205"/>
    </row>
    <row r="89" spans="2:46" ht="33" x14ac:dyDescent="0.25">
      <c r="B89" s="361"/>
      <c r="C89" s="339"/>
      <c r="D89" s="310"/>
      <c r="E89" s="310"/>
      <c r="F89" s="310"/>
      <c r="G89" s="310"/>
      <c r="H89" s="310"/>
      <c r="I89" s="310"/>
      <c r="J89" s="310"/>
      <c r="K89" s="310"/>
      <c r="L89" s="184"/>
      <c r="M89" s="126" t="s">
        <v>900</v>
      </c>
      <c r="N89" s="126" t="s">
        <v>206</v>
      </c>
      <c r="O89" s="126"/>
      <c r="P89" s="241">
        <v>38604</v>
      </c>
      <c r="Q89" s="241"/>
      <c r="R89" s="241"/>
      <c r="S89" s="241">
        <v>35993</v>
      </c>
      <c r="T89" s="241">
        <v>52415</v>
      </c>
      <c r="U89" s="346"/>
      <c r="V89" s="351"/>
      <c r="W89" s="346"/>
      <c r="X89" s="348"/>
      <c r="Y89" s="348"/>
      <c r="Z89" s="348"/>
      <c r="AA89" s="348"/>
      <c r="AB89" s="348"/>
      <c r="AC89" s="351"/>
      <c r="AD89" s="321"/>
      <c r="AE89" s="321"/>
      <c r="AF89" s="321"/>
      <c r="AG89" s="321"/>
      <c r="AH89" s="321"/>
      <c r="AI89" s="321"/>
      <c r="AJ89" s="321"/>
      <c r="AK89" s="321"/>
      <c r="AL89" s="318"/>
      <c r="AM89" s="205"/>
      <c r="AN89" s="205"/>
      <c r="AO89" s="205"/>
      <c r="AP89" s="205"/>
      <c r="AQ89" s="205"/>
      <c r="AR89" s="205"/>
      <c r="AS89" s="205"/>
      <c r="AT89" s="205"/>
    </row>
    <row r="90" spans="2:46" ht="49.5" x14ac:dyDescent="0.25">
      <c r="B90" s="361"/>
      <c r="C90" s="339"/>
      <c r="D90" s="310"/>
      <c r="E90" s="310"/>
      <c r="F90" s="310"/>
      <c r="G90" s="310"/>
      <c r="H90" s="310"/>
      <c r="I90" s="310"/>
      <c r="J90" s="310"/>
      <c r="K90" s="310"/>
      <c r="L90" s="184"/>
      <c r="M90" s="126" t="s">
        <v>901</v>
      </c>
      <c r="N90" s="126" t="s">
        <v>206</v>
      </c>
      <c r="O90" s="126"/>
      <c r="P90" s="241">
        <v>4055</v>
      </c>
      <c r="Q90" s="241"/>
      <c r="R90" s="241"/>
      <c r="S90" s="241">
        <v>4965</v>
      </c>
      <c r="T90" s="241">
        <v>5446</v>
      </c>
      <c r="U90" s="346"/>
      <c r="V90" s="351"/>
      <c r="W90" s="346"/>
      <c r="X90" s="348"/>
      <c r="Y90" s="348"/>
      <c r="Z90" s="348"/>
      <c r="AA90" s="348"/>
      <c r="AB90" s="348"/>
      <c r="AC90" s="351"/>
      <c r="AD90" s="321"/>
      <c r="AE90" s="321"/>
      <c r="AF90" s="321"/>
      <c r="AG90" s="321"/>
      <c r="AH90" s="321"/>
      <c r="AI90" s="321"/>
      <c r="AJ90" s="321"/>
      <c r="AK90" s="321"/>
      <c r="AL90" s="318"/>
      <c r="AM90" s="205"/>
      <c r="AN90" s="205"/>
      <c r="AO90" s="205"/>
      <c r="AP90" s="205"/>
      <c r="AQ90" s="205"/>
      <c r="AR90" s="205"/>
      <c r="AS90" s="205"/>
      <c r="AT90" s="205"/>
    </row>
    <row r="91" spans="2:46" ht="49.5" x14ac:dyDescent="0.25">
      <c r="B91" s="361"/>
      <c r="C91" s="339"/>
      <c r="D91" s="310"/>
      <c r="E91" s="310"/>
      <c r="F91" s="310"/>
      <c r="G91" s="310"/>
      <c r="H91" s="310"/>
      <c r="I91" s="310"/>
      <c r="J91" s="310"/>
      <c r="K91" s="310"/>
      <c r="L91" s="184"/>
      <c r="M91" s="126" t="s">
        <v>902</v>
      </c>
      <c r="N91" s="126" t="s">
        <v>206</v>
      </c>
      <c r="O91" s="126"/>
      <c r="P91" s="241">
        <v>750</v>
      </c>
      <c r="Q91" s="241"/>
      <c r="R91" s="241"/>
      <c r="S91" s="241">
        <v>1759</v>
      </c>
      <c r="T91" s="241">
        <v>2694</v>
      </c>
      <c r="U91" s="346"/>
      <c r="V91" s="351"/>
      <c r="W91" s="346"/>
      <c r="X91" s="348"/>
      <c r="Y91" s="348"/>
      <c r="Z91" s="348"/>
      <c r="AA91" s="348"/>
      <c r="AB91" s="348"/>
      <c r="AC91" s="351"/>
      <c r="AD91" s="321"/>
      <c r="AE91" s="321"/>
      <c r="AF91" s="321"/>
      <c r="AG91" s="321"/>
      <c r="AH91" s="321"/>
      <c r="AI91" s="321"/>
      <c r="AJ91" s="321"/>
      <c r="AK91" s="321"/>
      <c r="AL91" s="318"/>
      <c r="AM91" s="205"/>
      <c r="AN91" s="205"/>
      <c r="AO91" s="205"/>
      <c r="AP91" s="205"/>
      <c r="AQ91" s="205"/>
      <c r="AR91" s="205"/>
      <c r="AS91" s="205"/>
      <c r="AT91" s="205"/>
    </row>
    <row r="92" spans="2:46" ht="33" x14ac:dyDescent="0.25">
      <c r="B92" s="361"/>
      <c r="C92" s="339"/>
      <c r="D92" s="310"/>
      <c r="E92" s="310"/>
      <c r="F92" s="310"/>
      <c r="G92" s="310"/>
      <c r="H92" s="310"/>
      <c r="I92" s="310"/>
      <c r="J92" s="310"/>
      <c r="K92" s="310"/>
      <c r="L92" s="184"/>
      <c r="M92" s="126" t="s">
        <v>903</v>
      </c>
      <c r="N92" s="126" t="s">
        <v>184</v>
      </c>
      <c r="O92" s="126"/>
      <c r="P92" s="240">
        <f>SUM(P93:P96)</f>
        <v>95297</v>
      </c>
      <c r="Q92" s="235"/>
      <c r="R92" s="235"/>
      <c r="S92" s="240">
        <f>SUM(S93:S96)</f>
        <v>103424</v>
      </c>
      <c r="T92" s="240">
        <f>SUM(T93:T96)</f>
        <v>116018</v>
      </c>
      <c r="U92" s="346"/>
      <c r="V92" s="351"/>
      <c r="W92" s="346"/>
      <c r="X92" s="348"/>
      <c r="Y92" s="348"/>
      <c r="Z92" s="348"/>
      <c r="AA92" s="348"/>
      <c r="AB92" s="348"/>
      <c r="AC92" s="351"/>
      <c r="AD92" s="321"/>
      <c r="AE92" s="321"/>
      <c r="AF92" s="321"/>
      <c r="AG92" s="321"/>
      <c r="AH92" s="321"/>
      <c r="AI92" s="321"/>
      <c r="AJ92" s="321"/>
      <c r="AK92" s="321"/>
      <c r="AL92" s="318"/>
      <c r="AM92" s="205"/>
      <c r="AN92" s="205"/>
      <c r="AO92" s="205"/>
      <c r="AP92" s="205"/>
      <c r="AQ92" s="205"/>
      <c r="AR92" s="205"/>
      <c r="AS92" s="205"/>
      <c r="AT92" s="205"/>
    </row>
    <row r="93" spans="2:46" ht="49.5" x14ac:dyDescent="0.25">
      <c r="B93" s="361"/>
      <c r="C93" s="339"/>
      <c r="D93" s="310"/>
      <c r="E93" s="310"/>
      <c r="F93" s="310"/>
      <c r="G93" s="310"/>
      <c r="H93" s="310"/>
      <c r="I93" s="310"/>
      <c r="J93" s="310"/>
      <c r="K93" s="310"/>
      <c r="L93" s="184"/>
      <c r="M93" s="126" t="s">
        <v>899</v>
      </c>
      <c r="N93" s="126" t="s">
        <v>206</v>
      </c>
      <c r="O93" s="126"/>
      <c r="P93" s="241">
        <v>6036</v>
      </c>
      <c r="Q93" s="241"/>
      <c r="R93" s="241"/>
      <c r="S93" s="241">
        <v>6393</v>
      </c>
      <c r="T93" s="241">
        <v>6308</v>
      </c>
      <c r="U93" s="346"/>
      <c r="V93" s="351"/>
      <c r="W93" s="346"/>
      <c r="X93" s="348"/>
      <c r="Y93" s="348"/>
      <c r="Z93" s="348"/>
      <c r="AA93" s="348"/>
      <c r="AB93" s="348"/>
      <c r="AC93" s="351"/>
      <c r="AD93" s="321"/>
      <c r="AE93" s="321"/>
      <c r="AF93" s="321"/>
      <c r="AG93" s="321"/>
      <c r="AH93" s="321"/>
      <c r="AI93" s="321"/>
      <c r="AJ93" s="321"/>
      <c r="AK93" s="321"/>
      <c r="AL93" s="318"/>
      <c r="AM93" s="205"/>
      <c r="AN93" s="205"/>
      <c r="AO93" s="205"/>
      <c r="AP93" s="205"/>
      <c r="AQ93" s="205"/>
      <c r="AR93" s="205"/>
      <c r="AS93" s="205"/>
      <c r="AT93" s="205"/>
    </row>
    <row r="94" spans="2:46" ht="33" x14ac:dyDescent="0.25">
      <c r="B94" s="361"/>
      <c r="C94" s="339"/>
      <c r="D94" s="310"/>
      <c r="E94" s="310"/>
      <c r="F94" s="310"/>
      <c r="G94" s="310"/>
      <c r="H94" s="310"/>
      <c r="I94" s="310"/>
      <c r="J94" s="310"/>
      <c r="K94" s="310"/>
      <c r="L94" s="184"/>
      <c r="M94" s="126" t="s">
        <v>900</v>
      </c>
      <c r="N94" s="126" t="s">
        <v>206</v>
      </c>
      <c r="O94" s="126"/>
      <c r="P94" s="241">
        <v>74006</v>
      </c>
      <c r="Q94" s="241"/>
      <c r="R94" s="241"/>
      <c r="S94" s="241">
        <v>78465</v>
      </c>
      <c r="T94" s="241">
        <v>91277</v>
      </c>
      <c r="U94" s="346"/>
      <c r="V94" s="351"/>
      <c r="W94" s="346"/>
      <c r="X94" s="348"/>
      <c r="Y94" s="348"/>
      <c r="Z94" s="348"/>
      <c r="AA94" s="348"/>
      <c r="AB94" s="348"/>
      <c r="AC94" s="351"/>
      <c r="AD94" s="321"/>
      <c r="AE94" s="321"/>
      <c r="AF94" s="321"/>
      <c r="AG94" s="321"/>
      <c r="AH94" s="321"/>
      <c r="AI94" s="321"/>
      <c r="AJ94" s="321"/>
      <c r="AK94" s="321"/>
      <c r="AL94" s="318"/>
      <c r="AM94" s="205"/>
      <c r="AN94" s="205"/>
      <c r="AO94" s="205"/>
      <c r="AP94" s="205"/>
      <c r="AQ94" s="205"/>
      <c r="AR94" s="205"/>
      <c r="AS94" s="205"/>
      <c r="AT94" s="205"/>
    </row>
    <row r="95" spans="2:46" ht="49.5" x14ac:dyDescent="0.25">
      <c r="B95" s="361"/>
      <c r="C95" s="339"/>
      <c r="D95" s="310"/>
      <c r="E95" s="310"/>
      <c r="F95" s="310"/>
      <c r="G95" s="310"/>
      <c r="H95" s="310"/>
      <c r="I95" s="310"/>
      <c r="J95" s="310"/>
      <c r="K95" s="310"/>
      <c r="L95" s="184"/>
      <c r="M95" s="126" t="s">
        <v>901</v>
      </c>
      <c r="N95" s="126" t="s">
        <v>206</v>
      </c>
      <c r="O95" s="126"/>
      <c r="P95" s="241">
        <v>13101</v>
      </c>
      <c r="Q95" s="241"/>
      <c r="R95" s="241"/>
      <c r="S95" s="241">
        <v>15599</v>
      </c>
      <c r="T95" s="241">
        <v>14322</v>
      </c>
      <c r="U95" s="346"/>
      <c r="V95" s="351"/>
      <c r="W95" s="346"/>
      <c r="X95" s="348"/>
      <c r="Y95" s="348"/>
      <c r="Z95" s="348"/>
      <c r="AA95" s="348"/>
      <c r="AB95" s="348"/>
      <c r="AC95" s="351"/>
      <c r="AD95" s="321"/>
      <c r="AE95" s="321"/>
      <c r="AF95" s="321"/>
      <c r="AG95" s="321"/>
      <c r="AH95" s="321"/>
      <c r="AI95" s="321"/>
      <c r="AJ95" s="321"/>
      <c r="AK95" s="321"/>
      <c r="AL95" s="318"/>
      <c r="AM95" s="205"/>
      <c r="AN95" s="205"/>
      <c r="AO95" s="205"/>
      <c r="AP95" s="205"/>
      <c r="AQ95" s="205"/>
      <c r="AR95" s="205"/>
      <c r="AS95" s="205"/>
      <c r="AT95" s="205"/>
    </row>
    <row r="96" spans="2:46" ht="49.5" x14ac:dyDescent="0.25">
      <c r="B96" s="361"/>
      <c r="C96" s="339"/>
      <c r="D96" s="310"/>
      <c r="E96" s="310"/>
      <c r="F96" s="310"/>
      <c r="G96" s="310"/>
      <c r="H96" s="310"/>
      <c r="I96" s="310"/>
      <c r="J96" s="310"/>
      <c r="K96" s="310"/>
      <c r="L96" s="184"/>
      <c r="M96" s="126" t="s">
        <v>902</v>
      </c>
      <c r="N96" s="126" t="s">
        <v>206</v>
      </c>
      <c r="O96" s="126"/>
      <c r="P96" s="241">
        <v>2154</v>
      </c>
      <c r="Q96" s="241"/>
      <c r="R96" s="241"/>
      <c r="S96" s="241">
        <v>2967</v>
      </c>
      <c r="T96" s="241">
        <v>4111</v>
      </c>
      <c r="U96" s="346"/>
      <c r="V96" s="351"/>
      <c r="W96" s="346"/>
      <c r="X96" s="348"/>
      <c r="Y96" s="348"/>
      <c r="Z96" s="348"/>
      <c r="AA96" s="348"/>
      <c r="AB96" s="348"/>
      <c r="AC96" s="351"/>
      <c r="AD96" s="321"/>
      <c r="AE96" s="321"/>
      <c r="AF96" s="321"/>
      <c r="AG96" s="321"/>
      <c r="AH96" s="321"/>
      <c r="AI96" s="321"/>
      <c r="AJ96" s="321"/>
      <c r="AK96" s="321"/>
      <c r="AL96" s="318"/>
      <c r="AM96" s="205"/>
      <c r="AN96" s="205"/>
      <c r="AO96" s="205"/>
      <c r="AP96" s="205"/>
      <c r="AQ96" s="205"/>
      <c r="AR96" s="205"/>
      <c r="AS96" s="205"/>
      <c r="AT96" s="205"/>
    </row>
    <row r="97" spans="2:46" ht="33" x14ac:dyDescent="0.25">
      <c r="B97" s="361"/>
      <c r="C97" s="339"/>
      <c r="D97" s="310"/>
      <c r="E97" s="310"/>
      <c r="F97" s="310"/>
      <c r="G97" s="310"/>
      <c r="H97" s="310"/>
      <c r="I97" s="310"/>
      <c r="J97" s="310"/>
      <c r="K97" s="310"/>
      <c r="L97" s="184"/>
      <c r="M97" s="126" t="s">
        <v>904</v>
      </c>
      <c r="N97" s="126" t="s">
        <v>184</v>
      </c>
      <c r="O97" s="126"/>
      <c r="P97" s="240">
        <f>SUM(P98:P101)</f>
        <v>51204</v>
      </c>
      <c r="Q97" s="235"/>
      <c r="R97" s="235"/>
      <c r="S97" s="240">
        <f>SUM(S98:S101)</f>
        <v>59382</v>
      </c>
      <c r="T97" s="240">
        <f>SUM(T98:T101)</f>
        <v>53537</v>
      </c>
      <c r="U97" s="346"/>
      <c r="V97" s="351"/>
      <c r="W97" s="346"/>
      <c r="X97" s="348"/>
      <c r="Y97" s="348"/>
      <c r="Z97" s="348"/>
      <c r="AA97" s="348"/>
      <c r="AB97" s="348"/>
      <c r="AC97" s="351"/>
      <c r="AD97" s="321"/>
      <c r="AE97" s="321"/>
      <c r="AF97" s="321"/>
      <c r="AG97" s="321"/>
      <c r="AH97" s="321"/>
      <c r="AI97" s="321"/>
      <c r="AJ97" s="321"/>
      <c r="AK97" s="321"/>
      <c r="AL97" s="318"/>
      <c r="AM97" s="205"/>
      <c r="AN97" s="205"/>
      <c r="AO97" s="205"/>
      <c r="AP97" s="205"/>
      <c r="AQ97" s="205"/>
      <c r="AR97" s="205"/>
      <c r="AS97" s="205"/>
      <c r="AT97" s="205"/>
    </row>
    <row r="98" spans="2:46" ht="49.5" x14ac:dyDescent="0.25">
      <c r="B98" s="361"/>
      <c r="C98" s="339"/>
      <c r="D98" s="310"/>
      <c r="E98" s="310"/>
      <c r="F98" s="310"/>
      <c r="G98" s="310"/>
      <c r="H98" s="310"/>
      <c r="I98" s="310"/>
      <c r="J98" s="310"/>
      <c r="K98" s="310"/>
      <c r="L98" s="184"/>
      <c r="M98" s="126" t="s">
        <v>899</v>
      </c>
      <c r="N98" s="126" t="s">
        <v>184</v>
      </c>
      <c r="O98" s="126"/>
      <c r="P98" s="242">
        <f>P93-P88</f>
        <v>5352</v>
      </c>
      <c r="Q98" s="235"/>
      <c r="R98" s="235"/>
      <c r="S98" s="242">
        <f t="shared" ref="S98:T101" si="57">S93-S88</f>
        <v>5068</v>
      </c>
      <c r="T98" s="242">
        <f t="shared" si="57"/>
        <v>4382</v>
      </c>
      <c r="U98" s="346"/>
      <c r="V98" s="351"/>
      <c r="W98" s="346"/>
      <c r="X98" s="348"/>
      <c r="Y98" s="348"/>
      <c r="Z98" s="348"/>
      <c r="AA98" s="348"/>
      <c r="AB98" s="348"/>
      <c r="AC98" s="351"/>
      <c r="AD98" s="321"/>
      <c r="AE98" s="321"/>
      <c r="AF98" s="321"/>
      <c r="AG98" s="321"/>
      <c r="AH98" s="321"/>
      <c r="AI98" s="321"/>
      <c r="AJ98" s="321"/>
      <c r="AK98" s="321"/>
      <c r="AL98" s="318"/>
      <c r="AM98" s="205"/>
      <c r="AN98" s="205"/>
      <c r="AO98" s="205"/>
      <c r="AP98" s="205"/>
      <c r="AQ98" s="205"/>
      <c r="AR98" s="205"/>
      <c r="AS98" s="205"/>
      <c r="AT98" s="205"/>
    </row>
    <row r="99" spans="2:46" ht="33" x14ac:dyDescent="0.25">
      <c r="B99" s="361"/>
      <c r="C99" s="339"/>
      <c r="D99" s="310"/>
      <c r="E99" s="310"/>
      <c r="F99" s="310"/>
      <c r="G99" s="310"/>
      <c r="H99" s="310"/>
      <c r="I99" s="310"/>
      <c r="J99" s="310"/>
      <c r="K99" s="310"/>
      <c r="L99" s="184"/>
      <c r="M99" s="126" t="s">
        <v>900</v>
      </c>
      <c r="N99" s="126" t="s">
        <v>184</v>
      </c>
      <c r="O99" s="126"/>
      <c r="P99" s="242">
        <f>P94-P89</f>
        <v>35402</v>
      </c>
      <c r="Q99" s="235"/>
      <c r="R99" s="235"/>
      <c r="S99" s="242">
        <f t="shared" si="57"/>
        <v>42472</v>
      </c>
      <c r="T99" s="242">
        <f t="shared" si="57"/>
        <v>38862</v>
      </c>
      <c r="U99" s="346"/>
      <c r="V99" s="351"/>
      <c r="W99" s="346"/>
      <c r="X99" s="348"/>
      <c r="Y99" s="348"/>
      <c r="Z99" s="348"/>
      <c r="AA99" s="348"/>
      <c r="AB99" s="348"/>
      <c r="AC99" s="351"/>
      <c r="AD99" s="321"/>
      <c r="AE99" s="321"/>
      <c r="AF99" s="321"/>
      <c r="AG99" s="321"/>
      <c r="AH99" s="321"/>
      <c r="AI99" s="321"/>
      <c r="AJ99" s="321"/>
      <c r="AK99" s="321"/>
      <c r="AL99" s="318"/>
      <c r="AM99" s="205"/>
      <c r="AN99" s="205"/>
      <c r="AO99" s="205"/>
      <c r="AP99" s="205"/>
      <c r="AQ99" s="205"/>
      <c r="AR99" s="205"/>
      <c r="AS99" s="205"/>
      <c r="AT99" s="205"/>
    </row>
    <row r="100" spans="2:46" ht="49.5" x14ac:dyDescent="0.25">
      <c r="B100" s="361"/>
      <c r="C100" s="339"/>
      <c r="D100" s="310"/>
      <c r="E100" s="310"/>
      <c r="F100" s="310"/>
      <c r="G100" s="310"/>
      <c r="H100" s="310"/>
      <c r="I100" s="310"/>
      <c r="J100" s="310"/>
      <c r="K100" s="310"/>
      <c r="L100" s="184"/>
      <c r="M100" s="126" t="s">
        <v>901</v>
      </c>
      <c r="N100" s="126" t="s">
        <v>184</v>
      </c>
      <c r="O100" s="126"/>
      <c r="P100" s="242">
        <f>P95-P90</f>
        <v>9046</v>
      </c>
      <c r="Q100" s="235"/>
      <c r="R100" s="235"/>
      <c r="S100" s="242">
        <f t="shared" si="57"/>
        <v>10634</v>
      </c>
      <c r="T100" s="242">
        <f t="shared" si="57"/>
        <v>8876</v>
      </c>
      <c r="U100" s="346"/>
      <c r="V100" s="351"/>
      <c r="W100" s="346"/>
      <c r="X100" s="348"/>
      <c r="Y100" s="348"/>
      <c r="Z100" s="348"/>
      <c r="AA100" s="348"/>
      <c r="AB100" s="348"/>
      <c r="AC100" s="351"/>
      <c r="AD100" s="321"/>
      <c r="AE100" s="321"/>
      <c r="AF100" s="321"/>
      <c r="AG100" s="321"/>
      <c r="AH100" s="321"/>
      <c r="AI100" s="321"/>
      <c r="AJ100" s="321"/>
      <c r="AK100" s="321"/>
      <c r="AL100" s="318"/>
      <c r="AM100" s="205"/>
      <c r="AN100" s="205"/>
      <c r="AO100" s="205"/>
      <c r="AP100" s="205"/>
      <c r="AQ100" s="205"/>
      <c r="AR100" s="205"/>
      <c r="AS100" s="205"/>
      <c r="AT100" s="205"/>
    </row>
    <row r="101" spans="2:46" ht="49.5" x14ac:dyDescent="0.25">
      <c r="B101" s="361"/>
      <c r="C101" s="339"/>
      <c r="D101" s="310"/>
      <c r="E101" s="310"/>
      <c r="F101" s="310"/>
      <c r="G101" s="310"/>
      <c r="H101" s="310"/>
      <c r="I101" s="310"/>
      <c r="J101" s="310"/>
      <c r="K101" s="310"/>
      <c r="L101" s="184"/>
      <c r="M101" s="126" t="s">
        <v>902</v>
      </c>
      <c r="N101" s="126" t="s">
        <v>184</v>
      </c>
      <c r="O101" s="126"/>
      <c r="P101" s="242">
        <f>P96-P91</f>
        <v>1404</v>
      </c>
      <c r="Q101" s="235"/>
      <c r="R101" s="235"/>
      <c r="S101" s="242">
        <f t="shared" si="57"/>
        <v>1208</v>
      </c>
      <c r="T101" s="242">
        <f t="shared" si="57"/>
        <v>1417</v>
      </c>
      <c r="U101" s="346"/>
      <c r="V101" s="351"/>
      <c r="W101" s="346"/>
      <c r="X101" s="348"/>
      <c r="Y101" s="348"/>
      <c r="Z101" s="348"/>
      <c r="AA101" s="348"/>
      <c r="AB101" s="348"/>
      <c r="AC101" s="351"/>
      <c r="AD101" s="321"/>
      <c r="AE101" s="321"/>
      <c r="AF101" s="321"/>
      <c r="AG101" s="321"/>
      <c r="AH101" s="321"/>
      <c r="AI101" s="321"/>
      <c r="AJ101" s="321"/>
      <c r="AK101" s="321"/>
      <c r="AL101" s="318"/>
      <c r="AM101" s="205"/>
      <c r="AN101" s="205"/>
      <c r="AO101" s="205"/>
      <c r="AP101" s="205"/>
      <c r="AQ101" s="205"/>
      <c r="AR101" s="205"/>
      <c r="AS101" s="205"/>
      <c r="AT101" s="205"/>
    </row>
    <row r="102" spans="2:46" ht="33" x14ac:dyDescent="0.25">
      <c r="B102" s="361"/>
      <c r="C102" s="339"/>
      <c r="D102" s="310"/>
      <c r="E102" s="310"/>
      <c r="F102" s="310"/>
      <c r="G102" s="310"/>
      <c r="H102" s="310"/>
      <c r="I102" s="310"/>
      <c r="J102" s="310"/>
      <c r="K102" s="310"/>
      <c r="L102" s="184"/>
      <c r="M102" s="126" t="s">
        <v>905</v>
      </c>
      <c r="N102" s="126" t="s">
        <v>184</v>
      </c>
      <c r="O102" s="126"/>
      <c r="P102" s="240">
        <f>SUM(P103:P106)</f>
        <v>43313</v>
      </c>
      <c r="Q102" s="235"/>
      <c r="R102" s="235"/>
      <c r="S102" s="240">
        <f>SUM(S103:S106)</f>
        <v>41326</v>
      </c>
      <c r="T102" s="240">
        <f>SUM(T103:T106)</f>
        <v>35287</v>
      </c>
      <c r="U102" s="346"/>
      <c r="V102" s="351"/>
      <c r="W102" s="346"/>
      <c r="X102" s="348"/>
      <c r="Y102" s="348"/>
      <c r="Z102" s="348"/>
      <c r="AA102" s="348"/>
      <c r="AB102" s="348"/>
      <c r="AC102" s="351"/>
      <c r="AD102" s="321"/>
      <c r="AE102" s="321"/>
      <c r="AF102" s="321"/>
      <c r="AG102" s="321"/>
      <c r="AH102" s="321"/>
      <c r="AI102" s="321"/>
      <c r="AJ102" s="321"/>
      <c r="AK102" s="321"/>
      <c r="AL102" s="318"/>
      <c r="AM102" s="205"/>
      <c r="AN102" s="205"/>
      <c r="AO102" s="205"/>
      <c r="AP102" s="205"/>
      <c r="AQ102" s="205"/>
      <c r="AR102" s="205"/>
      <c r="AS102" s="205"/>
      <c r="AT102" s="205"/>
    </row>
    <row r="103" spans="2:46" ht="49.5" x14ac:dyDescent="0.25">
      <c r="B103" s="361"/>
      <c r="C103" s="339"/>
      <c r="D103" s="310"/>
      <c r="E103" s="310"/>
      <c r="F103" s="310"/>
      <c r="G103" s="310"/>
      <c r="H103" s="310"/>
      <c r="I103" s="310"/>
      <c r="J103" s="310"/>
      <c r="K103" s="310"/>
      <c r="L103" s="184"/>
      <c r="M103" s="126" t="s">
        <v>899</v>
      </c>
      <c r="N103" s="126" t="s">
        <v>206</v>
      </c>
      <c r="O103" s="126"/>
      <c r="P103" s="241">
        <v>3103</v>
      </c>
      <c r="Q103" s="241"/>
      <c r="R103" s="241"/>
      <c r="S103" s="241">
        <v>4104</v>
      </c>
      <c r="T103" s="241">
        <v>5921</v>
      </c>
      <c r="U103" s="346"/>
      <c r="V103" s="351"/>
      <c r="W103" s="346"/>
      <c r="X103" s="348"/>
      <c r="Y103" s="348"/>
      <c r="Z103" s="348"/>
      <c r="AA103" s="348"/>
      <c r="AB103" s="348"/>
      <c r="AC103" s="351"/>
      <c r="AD103" s="321"/>
      <c r="AE103" s="321"/>
      <c r="AF103" s="321"/>
      <c r="AG103" s="321"/>
      <c r="AH103" s="321"/>
      <c r="AI103" s="321"/>
      <c r="AJ103" s="321"/>
      <c r="AK103" s="321"/>
      <c r="AL103" s="318"/>
      <c r="AM103" s="205"/>
      <c r="AN103" s="205"/>
      <c r="AO103" s="205"/>
      <c r="AP103" s="205"/>
      <c r="AQ103" s="205"/>
      <c r="AR103" s="205"/>
      <c r="AS103" s="205"/>
      <c r="AT103" s="205"/>
    </row>
    <row r="104" spans="2:46" ht="33" x14ac:dyDescent="0.25">
      <c r="B104" s="361"/>
      <c r="C104" s="339"/>
      <c r="D104" s="310"/>
      <c r="E104" s="310"/>
      <c r="F104" s="310"/>
      <c r="G104" s="310"/>
      <c r="H104" s="310"/>
      <c r="I104" s="310"/>
      <c r="J104" s="310"/>
      <c r="K104" s="310"/>
      <c r="L104" s="184"/>
      <c r="M104" s="126" t="s">
        <v>900</v>
      </c>
      <c r="N104" s="126" t="s">
        <v>206</v>
      </c>
      <c r="O104" s="126"/>
      <c r="P104" s="241">
        <v>30265</v>
      </c>
      <c r="Q104" s="241"/>
      <c r="R104" s="241"/>
      <c r="S104" s="241">
        <v>28338</v>
      </c>
      <c r="T104" s="241">
        <v>23623</v>
      </c>
      <c r="U104" s="346"/>
      <c r="V104" s="351"/>
      <c r="W104" s="346"/>
      <c r="X104" s="348"/>
      <c r="Y104" s="348"/>
      <c r="Z104" s="348"/>
      <c r="AA104" s="348"/>
      <c r="AB104" s="348"/>
      <c r="AC104" s="351"/>
      <c r="AD104" s="321"/>
      <c r="AE104" s="321"/>
      <c r="AF104" s="321"/>
      <c r="AG104" s="321"/>
      <c r="AH104" s="321"/>
      <c r="AI104" s="321"/>
      <c r="AJ104" s="321"/>
      <c r="AK104" s="321"/>
      <c r="AL104" s="318"/>
      <c r="AM104" s="205"/>
      <c r="AN104" s="205"/>
      <c r="AO104" s="205"/>
      <c r="AP104" s="205"/>
      <c r="AQ104" s="205"/>
      <c r="AR104" s="205"/>
      <c r="AS104" s="205"/>
      <c r="AT104" s="205"/>
    </row>
    <row r="105" spans="2:46" ht="49.5" x14ac:dyDescent="0.25">
      <c r="B105" s="361"/>
      <c r="C105" s="339"/>
      <c r="D105" s="310"/>
      <c r="E105" s="310"/>
      <c r="F105" s="310"/>
      <c r="G105" s="310"/>
      <c r="H105" s="310"/>
      <c r="I105" s="310"/>
      <c r="J105" s="310"/>
      <c r="K105" s="310"/>
      <c r="L105" s="184"/>
      <c r="M105" s="126" t="s">
        <v>901</v>
      </c>
      <c r="N105" s="126" t="s">
        <v>206</v>
      </c>
      <c r="O105" s="126"/>
      <c r="P105" s="241">
        <v>8424</v>
      </c>
      <c r="Q105" s="241"/>
      <c r="R105" s="241"/>
      <c r="S105" s="241">
        <v>7210</v>
      </c>
      <c r="T105" s="241">
        <v>5278</v>
      </c>
      <c r="U105" s="346"/>
      <c r="V105" s="351"/>
      <c r="W105" s="346"/>
      <c r="X105" s="348"/>
      <c r="Y105" s="348"/>
      <c r="Z105" s="348"/>
      <c r="AA105" s="348"/>
      <c r="AB105" s="348"/>
      <c r="AC105" s="351"/>
      <c r="AD105" s="321"/>
      <c r="AE105" s="321"/>
      <c r="AF105" s="321"/>
      <c r="AG105" s="321"/>
      <c r="AH105" s="321"/>
      <c r="AI105" s="321"/>
      <c r="AJ105" s="321"/>
      <c r="AK105" s="321"/>
      <c r="AL105" s="318"/>
      <c r="AM105" s="205"/>
      <c r="AN105" s="205"/>
      <c r="AO105" s="205"/>
      <c r="AP105" s="205"/>
      <c r="AQ105" s="205"/>
      <c r="AR105" s="205"/>
      <c r="AS105" s="205"/>
      <c r="AT105" s="205"/>
    </row>
    <row r="106" spans="2:46" ht="49.5" x14ac:dyDescent="0.25">
      <c r="B106" s="361"/>
      <c r="C106" s="339"/>
      <c r="D106" s="310"/>
      <c r="E106" s="310"/>
      <c r="F106" s="310"/>
      <c r="G106" s="310"/>
      <c r="H106" s="310"/>
      <c r="I106" s="310"/>
      <c r="J106" s="310"/>
      <c r="K106" s="310"/>
      <c r="L106" s="184"/>
      <c r="M106" s="126" t="s">
        <v>902</v>
      </c>
      <c r="N106" s="126" t="s">
        <v>206</v>
      </c>
      <c r="O106" s="126"/>
      <c r="P106" s="241">
        <v>1521</v>
      </c>
      <c r="Q106" s="241"/>
      <c r="R106" s="241"/>
      <c r="S106" s="241">
        <v>1674</v>
      </c>
      <c r="T106" s="241">
        <v>465</v>
      </c>
      <c r="U106" s="346"/>
      <c r="V106" s="351"/>
      <c r="W106" s="346"/>
      <c r="X106" s="348"/>
      <c r="Y106" s="348"/>
      <c r="Z106" s="348"/>
      <c r="AA106" s="348"/>
      <c r="AB106" s="348"/>
      <c r="AC106" s="351"/>
      <c r="AD106" s="321"/>
      <c r="AE106" s="321"/>
      <c r="AF106" s="321"/>
      <c r="AG106" s="321"/>
      <c r="AH106" s="321"/>
      <c r="AI106" s="321"/>
      <c r="AJ106" s="321"/>
      <c r="AK106" s="321"/>
      <c r="AL106" s="318"/>
      <c r="AM106" s="205"/>
      <c r="AN106" s="205"/>
      <c r="AO106" s="205"/>
      <c r="AP106" s="205"/>
      <c r="AQ106" s="205"/>
      <c r="AR106" s="205"/>
      <c r="AS106" s="205"/>
      <c r="AT106" s="205"/>
    </row>
    <row r="107" spans="2:46" ht="33" x14ac:dyDescent="0.25">
      <c r="B107" s="361"/>
      <c r="C107" s="339"/>
      <c r="D107" s="310"/>
      <c r="E107" s="310"/>
      <c r="F107" s="310"/>
      <c r="G107" s="310"/>
      <c r="H107" s="310"/>
      <c r="I107" s="310"/>
      <c r="J107" s="310"/>
      <c r="K107" s="310"/>
      <c r="L107" s="184"/>
      <c r="M107" s="126" t="s">
        <v>906</v>
      </c>
      <c r="N107" s="126" t="s">
        <v>184</v>
      </c>
      <c r="O107" s="126"/>
      <c r="P107" s="116">
        <f>P97+P102*0.7638</f>
        <v>84286.469400000002</v>
      </c>
      <c r="Q107" s="235"/>
      <c r="R107" s="235"/>
      <c r="S107" s="116">
        <f>S97+S102*0.7638</f>
        <v>90946.798800000004</v>
      </c>
      <c r="T107" s="116">
        <f>T97+T102*0.7638</f>
        <v>80489.210600000006</v>
      </c>
      <c r="U107" s="346"/>
      <c r="V107" s="351"/>
      <c r="W107" s="346"/>
      <c r="X107" s="348"/>
      <c r="Y107" s="348"/>
      <c r="Z107" s="348"/>
      <c r="AA107" s="348"/>
      <c r="AB107" s="348"/>
      <c r="AC107" s="351"/>
      <c r="AD107" s="321"/>
      <c r="AE107" s="321"/>
      <c r="AF107" s="321"/>
      <c r="AG107" s="321"/>
      <c r="AH107" s="321"/>
      <c r="AI107" s="321"/>
      <c r="AJ107" s="321"/>
      <c r="AK107" s="321"/>
      <c r="AL107" s="318"/>
      <c r="AM107" s="205"/>
      <c r="AN107" s="205"/>
      <c r="AO107" s="205"/>
      <c r="AP107" s="205"/>
      <c r="AQ107" s="205"/>
      <c r="AR107" s="205"/>
      <c r="AS107" s="205"/>
      <c r="AT107" s="205"/>
    </row>
    <row r="108" spans="2:46" ht="49.5" x14ac:dyDescent="0.25">
      <c r="B108" s="361"/>
      <c r="C108" s="339"/>
      <c r="D108" s="310"/>
      <c r="E108" s="310"/>
      <c r="F108" s="310"/>
      <c r="G108" s="310"/>
      <c r="H108" s="310"/>
      <c r="I108" s="310"/>
      <c r="J108" s="310"/>
      <c r="K108" s="310"/>
      <c r="L108" s="184"/>
      <c r="M108" s="126" t="s">
        <v>899</v>
      </c>
      <c r="N108" s="126" t="s">
        <v>184</v>
      </c>
      <c r="O108" s="126"/>
      <c r="P108" s="242">
        <f t="shared" ref="P108:P111" si="58">P98+P103*0.7638</f>
        <v>7722.0714000000007</v>
      </c>
      <c r="Q108" s="235"/>
      <c r="R108" s="235"/>
      <c r="S108" s="242">
        <f t="shared" ref="S108:T111" si="59">S98+S103*0.7638</f>
        <v>8202.6352000000006</v>
      </c>
      <c r="T108" s="242">
        <f t="shared" si="59"/>
        <v>8904.4598000000005</v>
      </c>
      <c r="U108" s="346"/>
      <c r="V108" s="351"/>
      <c r="W108" s="346"/>
      <c r="X108" s="348"/>
      <c r="Y108" s="348"/>
      <c r="Z108" s="348"/>
      <c r="AA108" s="348"/>
      <c r="AB108" s="348"/>
      <c r="AC108" s="351"/>
      <c r="AD108" s="321"/>
      <c r="AE108" s="321"/>
      <c r="AF108" s="321"/>
      <c r="AG108" s="321"/>
      <c r="AH108" s="321"/>
      <c r="AI108" s="321"/>
      <c r="AJ108" s="321"/>
      <c r="AK108" s="321"/>
      <c r="AL108" s="318"/>
      <c r="AM108" s="205"/>
      <c r="AN108" s="205"/>
      <c r="AO108" s="205"/>
      <c r="AP108" s="205"/>
      <c r="AQ108" s="205"/>
      <c r="AR108" s="205"/>
      <c r="AS108" s="205"/>
      <c r="AT108" s="205"/>
    </row>
    <row r="109" spans="2:46" ht="33" x14ac:dyDescent="0.25">
      <c r="B109" s="361"/>
      <c r="C109" s="339"/>
      <c r="D109" s="310"/>
      <c r="E109" s="310"/>
      <c r="F109" s="310"/>
      <c r="G109" s="310"/>
      <c r="H109" s="310"/>
      <c r="I109" s="310"/>
      <c r="J109" s="310"/>
      <c r="K109" s="310"/>
      <c r="L109" s="184"/>
      <c r="M109" s="126" t="s">
        <v>900</v>
      </c>
      <c r="N109" s="126" t="s">
        <v>184</v>
      </c>
      <c r="O109" s="126"/>
      <c r="P109" s="242">
        <f t="shared" si="58"/>
        <v>58518.406999999999</v>
      </c>
      <c r="Q109" s="235"/>
      <c r="R109" s="235"/>
      <c r="S109" s="242">
        <f t="shared" si="59"/>
        <v>64116.564400000003</v>
      </c>
      <c r="T109" s="242">
        <f t="shared" si="59"/>
        <v>56905.2474</v>
      </c>
      <c r="U109" s="346"/>
      <c r="V109" s="351"/>
      <c r="W109" s="346"/>
      <c r="X109" s="348"/>
      <c r="Y109" s="348"/>
      <c r="Z109" s="348"/>
      <c r="AA109" s="348"/>
      <c r="AB109" s="348"/>
      <c r="AC109" s="351"/>
      <c r="AD109" s="321"/>
      <c r="AE109" s="321"/>
      <c r="AF109" s="321"/>
      <c r="AG109" s="321"/>
      <c r="AH109" s="321"/>
      <c r="AI109" s="321"/>
      <c r="AJ109" s="321"/>
      <c r="AK109" s="321"/>
      <c r="AL109" s="318"/>
      <c r="AM109" s="205"/>
      <c r="AN109" s="205"/>
      <c r="AO109" s="205"/>
      <c r="AP109" s="205"/>
      <c r="AQ109" s="205"/>
      <c r="AR109" s="205"/>
      <c r="AS109" s="205"/>
      <c r="AT109" s="205"/>
    </row>
    <row r="110" spans="2:46" ht="49.5" x14ac:dyDescent="0.25">
      <c r="B110" s="361"/>
      <c r="C110" s="339"/>
      <c r="D110" s="310"/>
      <c r="E110" s="310"/>
      <c r="F110" s="310"/>
      <c r="G110" s="310"/>
      <c r="H110" s="310"/>
      <c r="I110" s="310"/>
      <c r="J110" s="310"/>
      <c r="K110" s="310"/>
      <c r="L110" s="184"/>
      <c r="M110" s="126" t="s">
        <v>901</v>
      </c>
      <c r="N110" s="126" t="s">
        <v>184</v>
      </c>
      <c r="O110" s="126"/>
      <c r="P110" s="242">
        <f t="shared" si="58"/>
        <v>15480.251200000001</v>
      </c>
      <c r="Q110" s="235"/>
      <c r="R110" s="235"/>
      <c r="S110" s="242">
        <f t="shared" si="59"/>
        <v>16140.998</v>
      </c>
      <c r="T110" s="242">
        <f t="shared" si="59"/>
        <v>12907.3364</v>
      </c>
      <c r="U110" s="346"/>
      <c r="V110" s="351"/>
      <c r="W110" s="346"/>
      <c r="X110" s="348"/>
      <c r="Y110" s="348"/>
      <c r="Z110" s="348"/>
      <c r="AA110" s="348"/>
      <c r="AB110" s="348"/>
      <c r="AC110" s="351"/>
      <c r="AD110" s="321"/>
      <c r="AE110" s="321"/>
      <c r="AF110" s="321"/>
      <c r="AG110" s="321"/>
      <c r="AH110" s="321"/>
      <c r="AI110" s="321"/>
      <c r="AJ110" s="321"/>
      <c r="AK110" s="321"/>
      <c r="AL110" s="318"/>
      <c r="AM110" s="205"/>
      <c r="AN110" s="205"/>
      <c r="AO110" s="205"/>
      <c r="AP110" s="205"/>
      <c r="AQ110" s="205"/>
      <c r="AR110" s="205"/>
      <c r="AS110" s="205"/>
      <c r="AT110" s="205"/>
    </row>
    <row r="111" spans="2:46" ht="49.5" x14ac:dyDescent="0.25">
      <c r="B111" s="361"/>
      <c r="C111" s="339"/>
      <c r="D111" s="310"/>
      <c r="E111" s="310"/>
      <c r="F111" s="310"/>
      <c r="G111" s="310"/>
      <c r="H111" s="310"/>
      <c r="I111" s="310"/>
      <c r="J111" s="310"/>
      <c r="K111" s="310"/>
      <c r="L111" s="184"/>
      <c r="M111" s="126" t="s">
        <v>902</v>
      </c>
      <c r="N111" s="126" t="s">
        <v>184</v>
      </c>
      <c r="O111" s="126"/>
      <c r="P111" s="242">
        <f t="shared" si="58"/>
        <v>2565.7398000000003</v>
      </c>
      <c r="Q111" s="235"/>
      <c r="R111" s="235"/>
      <c r="S111" s="242">
        <f t="shared" si="59"/>
        <v>2486.6012000000001</v>
      </c>
      <c r="T111" s="242">
        <f t="shared" si="59"/>
        <v>1772.1669999999999</v>
      </c>
      <c r="U111" s="346"/>
      <c r="V111" s="351"/>
      <c r="W111" s="346"/>
      <c r="X111" s="348"/>
      <c r="Y111" s="348"/>
      <c r="Z111" s="348"/>
      <c r="AA111" s="348"/>
      <c r="AB111" s="348"/>
      <c r="AC111" s="351"/>
      <c r="AD111" s="321"/>
      <c r="AE111" s="321"/>
      <c r="AF111" s="321"/>
      <c r="AG111" s="321"/>
      <c r="AH111" s="321"/>
      <c r="AI111" s="321"/>
      <c r="AJ111" s="321"/>
      <c r="AK111" s="321"/>
      <c r="AL111" s="318"/>
      <c r="AM111" s="205"/>
      <c r="AN111" s="205"/>
      <c r="AO111" s="205"/>
      <c r="AP111" s="205"/>
      <c r="AQ111" s="205"/>
      <c r="AR111" s="205"/>
      <c r="AS111" s="205"/>
      <c r="AT111" s="205"/>
    </row>
    <row r="112" spans="2:46" ht="33" x14ac:dyDescent="0.25">
      <c r="B112" s="362"/>
      <c r="C112" s="340"/>
      <c r="D112" s="311"/>
      <c r="E112" s="311"/>
      <c r="F112" s="311"/>
      <c r="G112" s="311"/>
      <c r="H112" s="311"/>
      <c r="I112" s="311"/>
      <c r="J112" s="311"/>
      <c r="K112" s="311"/>
      <c r="L112" s="184"/>
      <c r="M112" s="126" t="s">
        <v>907</v>
      </c>
      <c r="N112" s="126" t="s">
        <v>191</v>
      </c>
      <c r="O112" s="126"/>
      <c r="P112" s="240">
        <f>'Strategic level'!H19*1000</f>
        <v>661667.78</v>
      </c>
      <c r="Q112" s="240">
        <f>'Strategic level'!I19*1000</f>
        <v>629650.18000000005</v>
      </c>
      <c r="R112" s="240">
        <f>'Strategic level'!J19*1000</f>
        <v>637872.26000000013</v>
      </c>
      <c r="S112" s="240">
        <f>'Strategic level'!K19*1000</f>
        <v>672588.06</v>
      </c>
      <c r="T112" s="240">
        <f>'Strategic level'!L19*1000</f>
        <v>631491.44799999997</v>
      </c>
      <c r="U112" s="346"/>
      <c r="V112" s="352"/>
      <c r="W112" s="346"/>
      <c r="X112" s="349"/>
      <c r="Y112" s="349"/>
      <c r="Z112" s="349"/>
      <c r="AA112" s="349"/>
      <c r="AB112" s="349"/>
      <c r="AC112" s="352"/>
      <c r="AD112" s="322"/>
      <c r="AE112" s="322"/>
      <c r="AF112" s="322"/>
      <c r="AG112" s="322"/>
      <c r="AH112" s="322"/>
      <c r="AI112" s="322"/>
      <c r="AJ112" s="322"/>
      <c r="AK112" s="322"/>
      <c r="AL112" s="319"/>
      <c r="AM112" s="205"/>
      <c r="AN112" s="205"/>
      <c r="AO112" s="205"/>
      <c r="AP112" s="205"/>
      <c r="AQ112" s="205"/>
      <c r="AR112" s="205"/>
      <c r="AS112" s="205"/>
      <c r="AT112" s="205"/>
    </row>
    <row r="113" spans="2:46" ht="66" x14ac:dyDescent="0.25">
      <c r="B113" s="363" t="s">
        <v>27</v>
      </c>
      <c r="C113" s="335" t="s">
        <v>1085</v>
      </c>
      <c r="D113" s="312" t="s">
        <v>741</v>
      </c>
      <c r="E113" s="306"/>
      <c r="F113" s="303"/>
      <c r="G113" s="303"/>
      <c r="H113" s="303"/>
      <c r="I113" s="303"/>
      <c r="J113" s="303"/>
      <c r="K113" s="303"/>
      <c r="L113" s="117" t="s">
        <v>110</v>
      </c>
      <c r="M113" s="118" t="s">
        <v>180</v>
      </c>
      <c r="N113" s="118" t="s">
        <v>204</v>
      </c>
      <c r="O113" s="118" t="s">
        <v>303</v>
      </c>
      <c r="P113" s="134">
        <f>P116/P114</f>
        <v>0.62054225930002826</v>
      </c>
      <c r="Q113" s="134">
        <f t="shared" ref="Q113:T113" si="60">Q116/Q114</f>
        <v>0.6234839954393101</v>
      </c>
      <c r="R113" s="134">
        <f t="shared" si="60"/>
        <v>0.65566046334331962</v>
      </c>
      <c r="S113" s="134">
        <f t="shared" si="60"/>
        <v>0.66002361867906767</v>
      </c>
      <c r="T113" s="134">
        <f t="shared" si="60"/>
        <v>0.65184661535965505</v>
      </c>
      <c r="U113" s="353">
        <f>T113*(1+_xlfn.RRI(4,$P$113,$T$113))</f>
        <v>0.65991640986342093</v>
      </c>
      <c r="V113" s="398">
        <f>+(U113+W113)/2</f>
        <v>0.66400125873106641</v>
      </c>
      <c r="W113" s="353">
        <f>U113*(1+_xlfn.RRI(4,$P$113,$T$113))</f>
        <v>0.66808610759871179</v>
      </c>
      <c r="X113" s="353">
        <f t="shared" ref="X113" si="61">W113*(1+_xlfn.RRI(4,$P$113,$T$113))</f>
        <v>0.67635694535732738</v>
      </c>
      <c r="Y113" s="326">
        <f t="shared" ref="Y113" si="62">X113*Y86/X86</f>
        <v>0.71836707733072902</v>
      </c>
      <c r="Z113" s="326">
        <f t="shared" ref="Z113:AB113" si="63">Y113*Z86/Y86</f>
        <v>0.76298655811105442</v>
      </c>
      <c r="AA113" s="326">
        <f t="shared" si="63"/>
        <v>0.81037746053350668</v>
      </c>
      <c r="AB113" s="326">
        <f t="shared" si="63"/>
        <v>0.86071192416098796</v>
      </c>
      <c r="AC113" s="329">
        <f>AB113*AC86/AB86</f>
        <v>0.91417278055240225</v>
      </c>
      <c r="AD113" s="386">
        <f>+Variables!C20</f>
        <v>30000</v>
      </c>
      <c r="AE113" s="297">
        <v>0</v>
      </c>
      <c r="AF113" s="297">
        <v>0</v>
      </c>
      <c r="AG113" s="297">
        <v>0</v>
      </c>
      <c r="AH113" s="297">
        <v>0</v>
      </c>
      <c r="AI113" s="297">
        <v>0</v>
      </c>
      <c r="AJ113" s="297">
        <v>0</v>
      </c>
      <c r="AK113" s="297">
        <f>SUM(AD113:AJ113)</f>
        <v>30000</v>
      </c>
      <c r="AL113" s="370" t="s">
        <v>401</v>
      </c>
      <c r="AM113" s="205"/>
      <c r="AN113" s="205"/>
      <c r="AO113" s="205"/>
      <c r="AP113" s="205"/>
      <c r="AQ113" s="205"/>
      <c r="AR113" s="205"/>
      <c r="AS113" s="205"/>
      <c r="AT113" s="205"/>
    </row>
    <row r="114" spans="2:46" ht="66" x14ac:dyDescent="0.25">
      <c r="B114" s="364"/>
      <c r="C114" s="336"/>
      <c r="D114" s="313"/>
      <c r="E114" s="307"/>
      <c r="F114" s="304"/>
      <c r="G114" s="304"/>
      <c r="H114" s="304"/>
      <c r="I114" s="304"/>
      <c r="J114" s="304"/>
      <c r="K114" s="304"/>
      <c r="L114" s="117"/>
      <c r="M114" s="126" t="s">
        <v>908</v>
      </c>
      <c r="N114" s="118" t="s">
        <v>204</v>
      </c>
      <c r="O114" s="118"/>
      <c r="P114" s="233">
        <v>1937475.3</v>
      </c>
      <c r="Q114" s="233">
        <v>2091525.7</v>
      </c>
      <c r="R114" s="233">
        <v>2101072.7000000002</v>
      </c>
      <c r="S114" s="233">
        <v>2419356.2999999998</v>
      </c>
      <c r="T114" s="233">
        <v>2750215.4</v>
      </c>
      <c r="U114" s="353"/>
      <c r="V114" s="399"/>
      <c r="W114" s="353"/>
      <c r="X114" s="353"/>
      <c r="Y114" s="327"/>
      <c r="Z114" s="327"/>
      <c r="AA114" s="327"/>
      <c r="AB114" s="327"/>
      <c r="AC114" s="330"/>
      <c r="AD114" s="387"/>
      <c r="AE114" s="298"/>
      <c r="AF114" s="298"/>
      <c r="AG114" s="298"/>
      <c r="AH114" s="298"/>
      <c r="AI114" s="298"/>
      <c r="AJ114" s="298"/>
      <c r="AK114" s="298"/>
      <c r="AL114" s="371"/>
      <c r="AM114" s="205"/>
      <c r="AN114" s="205"/>
      <c r="AO114" s="205"/>
      <c r="AP114" s="205"/>
      <c r="AQ114" s="205"/>
      <c r="AR114" s="205"/>
      <c r="AS114" s="205"/>
      <c r="AT114" s="205"/>
    </row>
    <row r="115" spans="2:46" ht="66" x14ac:dyDescent="0.25">
      <c r="B115" s="364"/>
      <c r="C115" s="336"/>
      <c r="D115" s="313"/>
      <c r="E115" s="307"/>
      <c r="F115" s="304"/>
      <c r="G115" s="304"/>
      <c r="H115" s="304"/>
      <c r="I115" s="304"/>
      <c r="J115" s="304"/>
      <c r="K115" s="304"/>
      <c r="L115" s="117"/>
      <c r="M115" s="126" t="s">
        <v>909</v>
      </c>
      <c r="N115" s="118" t="s">
        <v>204</v>
      </c>
      <c r="O115" s="118"/>
      <c r="P115" s="233">
        <v>735190</v>
      </c>
      <c r="Q115" s="233">
        <v>787492.9</v>
      </c>
      <c r="R115" s="233">
        <v>723482.4</v>
      </c>
      <c r="S115" s="233">
        <v>822524</v>
      </c>
      <c r="T115" s="233">
        <v>957496.8</v>
      </c>
      <c r="U115" s="353"/>
      <c r="V115" s="399"/>
      <c r="W115" s="353"/>
      <c r="X115" s="353"/>
      <c r="Y115" s="327"/>
      <c r="Z115" s="327"/>
      <c r="AA115" s="327"/>
      <c r="AB115" s="327"/>
      <c r="AC115" s="330"/>
      <c r="AD115" s="387"/>
      <c r="AE115" s="298"/>
      <c r="AF115" s="298"/>
      <c r="AG115" s="298"/>
      <c r="AH115" s="298"/>
      <c r="AI115" s="298"/>
      <c r="AJ115" s="298"/>
      <c r="AK115" s="298"/>
      <c r="AL115" s="371"/>
      <c r="AM115" s="205"/>
      <c r="AN115" s="205"/>
      <c r="AO115" s="205"/>
      <c r="AP115" s="205"/>
      <c r="AQ115" s="205"/>
      <c r="AR115" s="205"/>
      <c r="AS115" s="205"/>
      <c r="AT115" s="205"/>
    </row>
    <row r="116" spans="2:46" ht="66" x14ac:dyDescent="0.25">
      <c r="B116" s="364"/>
      <c r="C116" s="336"/>
      <c r="D116" s="314"/>
      <c r="E116" s="308"/>
      <c r="F116" s="305"/>
      <c r="G116" s="305"/>
      <c r="H116" s="305"/>
      <c r="I116" s="305"/>
      <c r="J116" s="305"/>
      <c r="K116" s="305"/>
      <c r="L116" s="117"/>
      <c r="M116" s="126" t="s">
        <v>910</v>
      </c>
      <c r="N116" s="118" t="s">
        <v>204</v>
      </c>
      <c r="O116" s="118"/>
      <c r="P116" s="233">
        <v>1202285.3</v>
      </c>
      <c r="Q116" s="233">
        <v>1304032.7999999998</v>
      </c>
      <c r="R116" s="233">
        <v>1377590.2999999998</v>
      </c>
      <c r="S116" s="233">
        <v>1596832.3</v>
      </c>
      <c r="T116" s="233">
        <f>T114-T115</f>
        <v>1792718.5999999999</v>
      </c>
      <c r="U116" s="353"/>
      <c r="V116" s="400"/>
      <c r="W116" s="353"/>
      <c r="X116" s="353"/>
      <c r="Y116" s="328"/>
      <c r="Z116" s="328"/>
      <c r="AA116" s="328"/>
      <c r="AB116" s="328"/>
      <c r="AC116" s="331"/>
      <c r="AD116" s="388"/>
      <c r="AE116" s="299"/>
      <c r="AF116" s="299"/>
      <c r="AG116" s="299"/>
      <c r="AH116" s="299"/>
      <c r="AI116" s="299"/>
      <c r="AJ116" s="299"/>
      <c r="AK116" s="299"/>
      <c r="AL116" s="372"/>
      <c r="AM116" s="205"/>
      <c r="AN116" s="205"/>
      <c r="AO116" s="205"/>
      <c r="AP116" s="205"/>
      <c r="AQ116" s="205"/>
      <c r="AR116" s="205"/>
      <c r="AS116" s="205"/>
      <c r="AT116" s="205"/>
    </row>
    <row r="117" spans="2:46" ht="173.25" customHeight="1" x14ac:dyDescent="0.25">
      <c r="B117" s="184" t="s">
        <v>28</v>
      </c>
      <c r="C117" s="126" t="s">
        <v>1010</v>
      </c>
      <c r="D117" s="64" t="s">
        <v>741</v>
      </c>
      <c r="E117" s="133"/>
      <c r="F117" s="126"/>
      <c r="G117" s="126"/>
      <c r="H117" s="126"/>
      <c r="I117" s="126"/>
      <c r="J117" s="126"/>
      <c r="K117" s="126"/>
      <c r="L117" s="117" t="s">
        <v>111</v>
      </c>
      <c r="M117" s="118" t="s">
        <v>386</v>
      </c>
      <c r="N117" s="118"/>
      <c r="O117" s="118"/>
      <c r="P117" s="165" t="s">
        <v>203</v>
      </c>
      <c r="Q117" s="165" t="s">
        <v>203</v>
      </c>
      <c r="R117" s="165" t="s">
        <v>203</v>
      </c>
      <c r="S117" s="165" t="s">
        <v>203</v>
      </c>
      <c r="T117" s="134" t="s">
        <v>203</v>
      </c>
      <c r="U117" s="134">
        <v>7.0000000000000007E-2</v>
      </c>
      <c r="V117" s="134">
        <f>+(U117+W117)/2</f>
        <v>6.9118420480587195E-2</v>
      </c>
      <c r="W117" s="134">
        <f>U117*'Strategic level'!M19/'Strategic level'!O19</f>
        <v>6.8236840961174383E-2</v>
      </c>
      <c r="X117" s="134">
        <f>W117*'Strategic level'!O19/'Strategic level'!P19</f>
        <v>6.6584097520429306E-2</v>
      </c>
      <c r="Y117" s="134">
        <f>X117*'Strategic level'!P19/'Strategic level'!Q19</f>
        <v>6.441533506071645E-2</v>
      </c>
      <c r="Z117" s="134">
        <f>Y117*'Strategic level'!Q19/'Strategic level'!R19</f>
        <v>6.234319631988277E-2</v>
      </c>
      <c r="AA117" s="134">
        <f>Z117*'Strategic level'!R19/'Strategic level'!S19</f>
        <v>6.0361629527363E-2</v>
      </c>
      <c r="AB117" s="134">
        <f>AA117*'Strategic level'!S19/'Strategic level'!T19</f>
        <v>5.8465091823890335E-2</v>
      </c>
      <c r="AC117" s="134">
        <f>AB117*'Strategic level'!T19/'Strategic level'!U19</f>
        <v>5.6648496275746633E-2</v>
      </c>
      <c r="AD117" s="219">
        <f>+Variables!C21</f>
        <v>20000</v>
      </c>
      <c r="AE117" s="219">
        <v>0</v>
      </c>
      <c r="AF117" s="219">
        <v>0</v>
      </c>
      <c r="AG117" s="219">
        <v>0</v>
      </c>
      <c r="AH117" s="219">
        <v>0</v>
      </c>
      <c r="AI117" s="219">
        <v>0</v>
      </c>
      <c r="AJ117" s="219">
        <v>0</v>
      </c>
      <c r="AK117" s="219">
        <f>SUM(AD117:AJ117)</f>
        <v>20000</v>
      </c>
      <c r="AL117" s="130" t="s">
        <v>401</v>
      </c>
      <c r="AM117" s="205"/>
      <c r="AN117" s="205"/>
      <c r="AO117" s="205"/>
      <c r="AP117" s="205"/>
      <c r="AQ117" s="205"/>
      <c r="AR117" s="205"/>
      <c r="AS117" s="205"/>
      <c r="AT117" s="205"/>
    </row>
    <row r="118" spans="2:46" ht="66" x14ac:dyDescent="0.25">
      <c r="B118" s="359" t="s">
        <v>38</v>
      </c>
      <c r="C118" s="335" t="s">
        <v>1086</v>
      </c>
      <c r="D118" s="303" t="s">
        <v>740</v>
      </c>
      <c r="E118" s="303"/>
      <c r="F118" s="306"/>
      <c r="G118" s="306"/>
      <c r="H118" s="306"/>
      <c r="I118" s="306"/>
      <c r="J118" s="306"/>
      <c r="K118" s="306"/>
      <c r="L118" s="117" t="s">
        <v>112</v>
      </c>
      <c r="M118" s="118" t="s">
        <v>1087</v>
      </c>
      <c r="N118" s="118"/>
      <c r="O118" s="118"/>
      <c r="P118" s="165" t="s">
        <v>203</v>
      </c>
      <c r="Q118" s="165" t="s">
        <v>203</v>
      </c>
      <c r="R118" s="165" t="s">
        <v>203</v>
      </c>
      <c r="S118" s="165" t="s">
        <v>203</v>
      </c>
      <c r="T118" s="134" t="s">
        <v>203</v>
      </c>
      <c r="U118" s="134"/>
      <c r="V118" s="134"/>
      <c r="W118" s="134"/>
      <c r="X118" s="239">
        <f>(X71+X72)*5</f>
        <v>5</v>
      </c>
      <c r="Y118" s="239">
        <f>(Y71+Y72)*10</f>
        <v>40</v>
      </c>
      <c r="Z118" s="239">
        <f>(Z71+Z72)*15</f>
        <v>105</v>
      </c>
      <c r="AA118" s="239">
        <f>(AA71+AA72)*20</f>
        <v>240</v>
      </c>
      <c r="AB118" s="239">
        <f>(AB71+AB72)*20</f>
        <v>360</v>
      </c>
      <c r="AC118" s="239">
        <f>(AC71+AC72)*25</f>
        <v>600</v>
      </c>
      <c r="AD118" s="297"/>
      <c r="AE118" s="297">
        <f>ROUND(X119*0.1*0.18+X121*X120*12*0.1,-3)</f>
        <v>318000</v>
      </c>
      <c r="AF118" s="297">
        <f t="shared" ref="AF118:AJ118" si="64">ROUND(Y119*0.1*0.18+Y121*Y120*12*0.1,-3)</f>
        <v>2847000</v>
      </c>
      <c r="AG118" s="297">
        <f t="shared" si="64"/>
        <v>8371000</v>
      </c>
      <c r="AH118" s="297">
        <f t="shared" si="64"/>
        <v>21254000</v>
      </c>
      <c r="AI118" s="297">
        <f t="shared" si="64"/>
        <v>35444000</v>
      </c>
      <c r="AJ118" s="297">
        <f t="shared" si="64"/>
        <v>65724000</v>
      </c>
      <c r="AK118" s="297">
        <f>SUM(AD118:AJ118)</f>
        <v>133958000</v>
      </c>
      <c r="AL118" s="315" t="s">
        <v>1096</v>
      </c>
      <c r="AM118" s="205"/>
      <c r="AN118" s="205"/>
      <c r="AO118" s="205"/>
      <c r="AP118" s="219">
        <f>AJ118-AF118</f>
        <v>62877000</v>
      </c>
      <c r="AQ118" s="219">
        <f>AP118-(AG118-AF118)</f>
        <v>57353000</v>
      </c>
      <c r="AR118" s="219">
        <f t="shared" ref="AR118:AT118" si="65">AQ118-(AH118-AG118)</f>
        <v>44470000</v>
      </c>
      <c r="AS118" s="219">
        <f t="shared" si="65"/>
        <v>30280000</v>
      </c>
      <c r="AT118" s="219">
        <f t="shared" si="65"/>
        <v>0</v>
      </c>
    </row>
    <row r="119" spans="2:46" ht="66" x14ac:dyDescent="0.25">
      <c r="B119" s="359"/>
      <c r="C119" s="336"/>
      <c r="D119" s="304"/>
      <c r="E119" s="304"/>
      <c r="F119" s="307"/>
      <c r="G119" s="307"/>
      <c r="H119" s="307"/>
      <c r="I119" s="307"/>
      <c r="J119" s="307"/>
      <c r="K119" s="307"/>
      <c r="L119" s="117" t="s">
        <v>140</v>
      </c>
      <c r="M119" s="118" t="s">
        <v>1089</v>
      </c>
      <c r="N119" s="118"/>
      <c r="O119" s="118"/>
      <c r="P119" s="165" t="s">
        <v>203</v>
      </c>
      <c r="Q119" s="165" t="s">
        <v>203</v>
      </c>
      <c r="R119" s="165" t="s">
        <v>203</v>
      </c>
      <c r="S119" s="165" t="s">
        <v>203</v>
      </c>
      <c r="T119" s="134" t="s">
        <v>203</v>
      </c>
      <c r="U119" s="134"/>
      <c r="V119" s="134"/>
      <c r="W119" s="134"/>
      <c r="X119" s="177">
        <f>ROUND((((538106.7+1587197.7+580140.5+31572.5)*1000*1.08^2*1.04^2)/(326+12147+274+132))*X118,-3)</f>
        <v>1341000</v>
      </c>
      <c r="Y119" s="177">
        <f>ROUND((((538106.7+1587197.7+580140.5+31572.5)*1000*1.08^3*1.04^3)/(326+12147+274+132))*Y118,-3)</f>
        <v>12046000</v>
      </c>
      <c r="Z119" s="177">
        <f>ROUND((((538106.7+1587197.7+580140.5+31572.5)*1000*1.08^4*1.04^4)/(326+12147+274+132))*Z118,-3)</f>
        <v>35515000</v>
      </c>
      <c r="AA119" s="177">
        <f>ROUND((((538106.7+1587197.7+580140.5+31572.5)*1000*1.08^4*1.04^4)/(326+12147+274+132))*AA118,-3)</f>
        <v>81177000</v>
      </c>
      <c r="AB119" s="177">
        <f>ROUND((((538106.7+1587197.7+580140.5+31572.5)*1000*1.08^4*1.04^4)/(326+12147+274+132))*AB118,-3)</f>
        <v>121766000</v>
      </c>
      <c r="AC119" s="177">
        <f>ROUND((((538106.7+1587197.7+580140.5+31572.5)*1000*1.08^4*1.04^4)/(326+12147+274+132))*AC118,-3)</f>
        <v>202943000</v>
      </c>
      <c r="AD119" s="298"/>
      <c r="AE119" s="298"/>
      <c r="AF119" s="298"/>
      <c r="AG119" s="298"/>
      <c r="AH119" s="298"/>
      <c r="AI119" s="298"/>
      <c r="AJ119" s="298"/>
      <c r="AK119" s="298"/>
      <c r="AL119" s="379"/>
      <c r="AM119" s="205"/>
      <c r="AN119" s="205"/>
      <c r="AO119" s="205"/>
      <c r="AP119" s="205"/>
      <c r="AQ119" s="205"/>
      <c r="AR119" s="205"/>
      <c r="AS119" s="205"/>
      <c r="AT119" s="205"/>
    </row>
    <row r="120" spans="2:46" ht="82.5" x14ac:dyDescent="0.25">
      <c r="B120" s="359"/>
      <c r="C120" s="336"/>
      <c r="D120" s="304"/>
      <c r="E120" s="304"/>
      <c r="F120" s="307"/>
      <c r="G120" s="307"/>
      <c r="H120" s="307"/>
      <c r="I120" s="307"/>
      <c r="J120" s="307"/>
      <c r="K120" s="307"/>
      <c r="L120" s="117" t="s">
        <v>141</v>
      </c>
      <c r="M120" s="118" t="s">
        <v>1088</v>
      </c>
      <c r="N120" s="118"/>
      <c r="O120" s="118"/>
      <c r="P120" s="165" t="s">
        <v>203</v>
      </c>
      <c r="Q120" s="165" t="s">
        <v>203</v>
      </c>
      <c r="R120" s="165" t="s">
        <v>203</v>
      </c>
      <c r="S120" s="165" t="s">
        <v>203</v>
      </c>
      <c r="T120" s="134" t="s">
        <v>203</v>
      </c>
      <c r="U120" s="134"/>
      <c r="V120" s="134"/>
      <c r="W120" s="134"/>
      <c r="X120" s="177">
        <f>150*X118</f>
        <v>750</v>
      </c>
      <c r="Y120" s="177">
        <f t="shared" ref="Y120:AC120" si="66">150*Y118</f>
        <v>6000</v>
      </c>
      <c r="Z120" s="177">
        <f t="shared" si="66"/>
        <v>15750</v>
      </c>
      <c r="AA120" s="177">
        <f t="shared" si="66"/>
        <v>36000</v>
      </c>
      <c r="AB120" s="177">
        <f t="shared" si="66"/>
        <v>54000</v>
      </c>
      <c r="AC120" s="177">
        <f t="shared" si="66"/>
        <v>90000</v>
      </c>
      <c r="AD120" s="298"/>
      <c r="AE120" s="298"/>
      <c r="AF120" s="298"/>
      <c r="AG120" s="298"/>
      <c r="AH120" s="298"/>
      <c r="AI120" s="298"/>
      <c r="AJ120" s="298"/>
      <c r="AK120" s="298"/>
      <c r="AL120" s="379"/>
      <c r="AM120" s="205"/>
      <c r="AN120" s="205"/>
      <c r="AO120" s="205"/>
      <c r="AP120" s="205"/>
      <c r="AQ120" s="205"/>
      <c r="AR120" s="205"/>
      <c r="AS120" s="205"/>
      <c r="AT120" s="205"/>
    </row>
    <row r="121" spans="2:46" ht="107.25" customHeight="1" x14ac:dyDescent="0.25">
      <c r="B121" s="359"/>
      <c r="C121" s="337"/>
      <c r="D121" s="305"/>
      <c r="E121" s="305"/>
      <c r="F121" s="308"/>
      <c r="G121" s="308"/>
      <c r="H121" s="308"/>
      <c r="I121" s="308"/>
      <c r="J121" s="308"/>
      <c r="K121" s="308"/>
      <c r="L121" s="117" t="s">
        <v>142</v>
      </c>
      <c r="M121" s="118" t="s">
        <v>1090</v>
      </c>
      <c r="N121" s="118"/>
      <c r="O121" s="118"/>
      <c r="P121" s="165" t="s">
        <v>203</v>
      </c>
      <c r="Q121" s="165" t="s">
        <v>203</v>
      </c>
      <c r="R121" s="165" t="s">
        <v>203</v>
      </c>
      <c r="S121" s="165" t="s">
        <v>203</v>
      </c>
      <c r="T121" s="165" t="s">
        <v>203</v>
      </c>
      <c r="U121" s="134"/>
      <c r="V121" s="134"/>
      <c r="W121" s="134"/>
      <c r="X121" s="177">
        <f>'Strategic level'!P43/1000</f>
        <v>326.11891819165106</v>
      </c>
      <c r="Y121" s="177">
        <f>'Strategic level'!Q43/1000</f>
        <v>365.2531883746492</v>
      </c>
      <c r="Z121" s="177">
        <f>'Strategic level'!R43/1000</f>
        <v>409.0835709796072</v>
      </c>
      <c r="AA121" s="177">
        <f>'Strategic level'!S43/1000</f>
        <v>458.17359949716007</v>
      </c>
      <c r="AB121" s="177">
        <f>'Strategic level'!T43/1000</f>
        <v>513.15443143681932</v>
      </c>
      <c r="AC121" s="177">
        <f>'Strategic level'!U43/1000</f>
        <v>574.73296320923771</v>
      </c>
      <c r="AD121" s="299"/>
      <c r="AE121" s="299"/>
      <c r="AF121" s="299"/>
      <c r="AG121" s="299"/>
      <c r="AH121" s="299"/>
      <c r="AI121" s="299"/>
      <c r="AJ121" s="299"/>
      <c r="AK121" s="299"/>
      <c r="AL121" s="316"/>
      <c r="AM121" s="205"/>
      <c r="AN121" s="205"/>
      <c r="AO121" s="205"/>
      <c r="AP121" s="205"/>
      <c r="AQ121" s="205"/>
      <c r="AR121" s="205"/>
      <c r="AS121" s="205"/>
      <c r="AT121" s="205"/>
    </row>
    <row r="122" spans="2:46" ht="82.5" x14ac:dyDescent="0.25">
      <c r="B122" s="187" t="s">
        <v>22</v>
      </c>
      <c r="C122" s="90" t="s">
        <v>1091</v>
      </c>
      <c r="D122" s="190"/>
      <c r="E122" s="115"/>
      <c r="F122" s="115"/>
      <c r="G122" s="115"/>
      <c r="H122" s="115"/>
      <c r="I122" s="115"/>
      <c r="J122" s="115"/>
      <c r="K122" s="115"/>
      <c r="L122" s="114" t="s">
        <v>113</v>
      </c>
      <c r="M122" s="115" t="s">
        <v>989</v>
      </c>
      <c r="N122" s="115"/>
      <c r="O122" s="115"/>
      <c r="P122" s="243">
        <v>4409.76</v>
      </c>
      <c r="Q122" s="243">
        <v>3067.68</v>
      </c>
      <c r="R122" s="243">
        <v>3833.7599999999998</v>
      </c>
      <c r="S122" s="243">
        <v>3331.5099999999998</v>
      </c>
      <c r="T122" s="243">
        <v>5499.4699999999993</v>
      </c>
      <c r="U122" s="243">
        <f>+T122*(1+_xlfn.RRI(3,$P$122,$S$122))</f>
        <v>5008.7523564996245</v>
      </c>
      <c r="V122" s="243">
        <f>+(U122+W122)/2</f>
        <v>4785.286899532095</v>
      </c>
      <c r="W122" s="243">
        <f>+U122*(1+_xlfn.RRI(3,$P$122,$S$122))</f>
        <v>4561.8214425645647</v>
      </c>
      <c r="X122" s="243">
        <f t="shared" ref="X122:AB122" si="67">+W122*(1+_xlfn.RRI(4,$P$122,$T$122))</f>
        <v>4820.7515896447167</v>
      </c>
      <c r="Y122" s="243">
        <f t="shared" si="67"/>
        <v>5094.3786778285648</v>
      </c>
      <c r="Z122" s="243">
        <f t="shared" si="67"/>
        <v>5383.5369092368019</v>
      </c>
      <c r="AA122" s="243">
        <f t="shared" si="67"/>
        <v>5689.1078355149812</v>
      </c>
      <c r="AB122" s="243">
        <f t="shared" si="67"/>
        <v>6012.0230454046086</v>
      </c>
      <c r="AC122" s="243">
        <f>+AB122*(1+_xlfn.RRI(4,$P$122,$T$122))</f>
        <v>6353.2670048614564</v>
      </c>
      <c r="AD122" s="217">
        <f>AD123+AD126+AD129</f>
        <v>0</v>
      </c>
      <c r="AE122" s="217">
        <f t="shared" ref="AE122:AK122" si="68">AE123+AE126+AE129</f>
        <v>0</v>
      </c>
      <c r="AF122" s="217">
        <f t="shared" si="68"/>
        <v>652000</v>
      </c>
      <c r="AG122" s="217">
        <f t="shared" si="68"/>
        <v>797000</v>
      </c>
      <c r="AH122" s="217">
        <f t="shared" si="68"/>
        <v>1080000</v>
      </c>
      <c r="AI122" s="217">
        <f t="shared" si="68"/>
        <v>1635000</v>
      </c>
      <c r="AJ122" s="217">
        <f t="shared" si="68"/>
        <v>2796000</v>
      </c>
      <c r="AK122" s="217">
        <f t="shared" si="68"/>
        <v>6960000</v>
      </c>
      <c r="AL122" s="201" t="s">
        <v>388</v>
      </c>
      <c r="AM122" s="205"/>
      <c r="AN122" s="205"/>
      <c r="AO122" s="205"/>
      <c r="AP122" s="205"/>
      <c r="AQ122" s="205"/>
      <c r="AR122" s="205"/>
      <c r="AS122" s="205"/>
      <c r="AT122" s="205"/>
    </row>
    <row r="123" spans="2:46" ht="49.5" x14ac:dyDescent="0.25">
      <c r="B123" s="359" t="s">
        <v>29</v>
      </c>
      <c r="C123" s="335" t="s">
        <v>1004</v>
      </c>
      <c r="D123" s="303" t="s">
        <v>740</v>
      </c>
      <c r="E123" s="303"/>
      <c r="F123" s="303"/>
      <c r="G123" s="306"/>
      <c r="H123" s="306"/>
      <c r="I123" s="306"/>
      <c r="J123" s="306"/>
      <c r="K123" s="306"/>
      <c r="L123" s="117" t="s">
        <v>114</v>
      </c>
      <c r="M123" s="118" t="s">
        <v>129</v>
      </c>
      <c r="N123" s="118"/>
      <c r="O123" s="118"/>
      <c r="P123" s="165" t="s">
        <v>203</v>
      </c>
      <c r="Q123" s="165" t="s">
        <v>203</v>
      </c>
      <c r="R123" s="165" t="s">
        <v>203</v>
      </c>
      <c r="S123" s="165" t="s">
        <v>203</v>
      </c>
      <c r="T123" s="165" t="s">
        <v>203</v>
      </c>
      <c r="U123" s="134"/>
      <c r="V123" s="134"/>
      <c r="W123" s="134"/>
      <c r="X123" s="134"/>
      <c r="Y123" s="239">
        <f>Y126*3</f>
        <v>150</v>
      </c>
      <c r="Z123" s="239">
        <f t="shared" ref="Z123:AC123" si="69">Z126*3</f>
        <v>168</v>
      </c>
      <c r="AA123" s="239">
        <f t="shared" si="69"/>
        <v>210</v>
      </c>
      <c r="AB123" s="239">
        <f t="shared" si="69"/>
        <v>294</v>
      </c>
      <c r="AC123" s="239">
        <f t="shared" si="69"/>
        <v>462</v>
      </c>
      <c r="AD123" s="297"/>
      <c r="AE123" s="297"/>
      <c r="AF123" s="297">
        <f>ROUND(Y125*Y126*0.5*0.18,-3)</f>
        <v>272000</v>
      </c>
      <c r="AG123" s="297">
        <f>ROUND(Z125*Z126*0.5*0.18,-3)</f>
        <v>341000</v>
      </c>
      <c r="AH123" s="297">
        <f t="shared" ref="AH123:AJ123" si="70">ROUND(AA125*AA126*0.5*0.18,-3)</f>
        <v>478000</v>
      </c>
      <c r="AI123" s="297">
        <f t="shared" si="70"/>
        <v>749000</v>
      </c>
      <c r="AJ123" s="297">
        <f t="shared" si="70"/>
        <v>1319000</v>
      </c>
      <c r="AK123" s="297">
        <f>SUM(AD123:AJ123)</f>
        <v>3159000</v>
      </c>
      <c r="AL123" s="315" t="s">
        <v>1094</v>
      </c>
      <c r="AM123" s="205"/>
      <c r="AN123" s="205"/>
      <c r="AO123" s="205"/>
      <c r="AP123" s="205"/>
      <c r="AQ123" s="205"/>
      <c r="AR123" s="205"/>
      <c r="AS123" s="205"/>
      <c r="AT123" s="205"/>
    </row>
    <row r="124" spans="2:46" ht="49.5" x14ac:dyDescent="0.25">
      <c r="B124" s="359"/>
      <c r="C124" s="336"/>
      <c r="D124" s="304"/>
      <c r="E124" s="304"/>
      <c r="F124" s="304"/>
      <c r="G124" s="307"/>
      <c r="H124" s="307"/>
      <c r="I124" s="307"/>
      <c r="J124" s="307"/>
      <c r="K124" s="307"/>
      <c r="L124" s="117" t="s">
        <v>146</v>
      </c>
      <c r="M124" s="118" t="s">
        <v>128</v>
      </c>
      <c r="N124" s="118"/>
      <c r="O124" s="118"/>
      <c r="P124" s="165" t="s">
        <v>203</v>
      </c>
      <c r="Q124" s="165" t="s">
        <v>203</v>
      </c>
      <c r="R124" s="165" t="s">
        <v>203</v>
      </c>
      <c r="S124" s="165" t="s">
        <v>203</v>
      </c>
      <c r="T124" s="165" t="s">
        <v>203</v>
      </c>
      <c r="U124" s="134"/>
      <c r="V124" s="134"/>
      <c r="W124" s="134"/>
      <c r="X124" s="134"/>
      <c r="Y124" s="177">
        <f>AF123/0.1</f>
        <v>2720000</v>
      </c>
      <c r="Z124" s="177">
        <f t="shared" ref="Z124" si="71">AG123/0.1</f>
        <v>3410000</v>
      </c>
      <c r="AA124" s="177">
        <f t="shared" ref="AA124" si="72">AH123/0.1</f>
        <v>4780000</v>
      </c>
      <c r="AB124" s="177">
        <f t="shared" ref="AB124" si="73">AI123/0.1</f>
        <v>7490000</v>
      </c>
      <c r="AC124" s="177">
        <f t="shared" ref="AC124" si="74">AJ123/0.1</f>
        <v>13190000</v>
      </c>
      <c r="AD124" s="298"/>
      <c r="AE124" s="298"/>
      <c r="AF124" s="298"/>
      <c r="AG124" s="298"/>
      <c r="AH124" s="298"/>
      <c r="AI124" s="298"/>
      <c r="AJ124" s="298"/>
      <c r="AK124" s="298"/>
      <c r="AL124" s="379"/>
      <c r="AM124" s="205"/>
      <c r="AN124" s="205"/>
      <c r="AO124" s="205"/>
      <c r="AP124" s="205"/>
      <c r="AQ124" s="205"/>
      <c r="AR124" s="205"/>
      <c r="AS124" s="205"/>
      <c r="AT124" s="205"/>
    </row>
    <row r="125" spans="2:46" ht="196.5" customHeight="1" x14ac:dyDescent="0.25">
      <c r="B125" s="359"/>
      <c r="C125" s="337"/>
      <c r="D125" s="305"/>
      <c r="E125" s="305"/>
      <c r="F125" s="305"/>
      <c r="G125" s="308"/>
      <c r="H125" s="308"/>
      <c r="I125" s="308"/>
      <c r="J125" s="308"/>
      <c r="K125" s="308"/>
      <c r="L125" s="117" t="s">
        <v>147</v>
      </c>
      <c r="M125" s="118" t="s">
        <v>134</v>
      </c>
      <c r="N125" s="118"/>
      <c r="O125" s="118"/>
      <c r="P125" s="165" t="s">
        <v>203</v>
      </c>
      <c r="Q125" s="165" t="s">
        <v>203</v>
      </c>
      <c r="R125" s="165" t="s">
        <v>203</v>
      </c>
      <c r="S125" s="165" t="s">
        <v>203</v>
      </c>
      <c r="T125" s="165" t="s">
        <v>203</v>
      </c>
      <c r="U125" s="134"/>
      <c r="V125" s="134"/>
      <c r="W125" s="177">
        <f>W80/5*3</f>
        <v>54000</v>
      </c>
      <c r="X125" s="177">
        <f>X80/5*3</f>
        <v>54000</v>
      </c>
      <c r="Y125" s="177">
        <f>Y80/5*3</f>
        <v>60480.000000000015</v>
      </c>
      <c r="Z125" s="177">
        <f t="shared" ref="Z125:AC125" si="75">Z80/5*3</f>
        <v>67737.600000000006</v>
      </c>
      <c r="AA125" s="177">
        <f t="shared" si="75"/>
        <v>75866.112000000023</v>
      </c>
      <c r="AB125" s="177">
        <f t="shared" si="75"/>
        <v>84970.045440000045</v>
      </c>
      <c r="AC125" s="177">
        <f t="shared" si="75"/>
        <v>95166.450892800058</v>
      </c>
      <c r="AD125" s="299"/>
      <c r="AE125" s="299"/>
      <c r="AF125" s="299"/>
      <c r="AG125" s="299"/>
      <c r="AH125" s="299"/>
      <c r="AI125" s="299"/>
      <c r="AJ125" s="299"/>
      <c r="AK125" s="299"/>
      <c r="AL125" s="316"/>
      <c r="AM125" s="205"/>
      <c r="AN125" s="205"/>
      <c r="AO125" s="205"/>
      <c r="AP125" s="205"/>
      <c r="AQ125" s="205"/>
      <c r="AR125" s="205"/>
      <c r="AS125" s="205"/>
      <c r="AT125" s="205"/>
    </row>
    <row r="126" spans="2:46" ht="49.5" x14ac:dyDescent="0.25">
      <c r="B126" s="359" t="s">
        <v>30</v>
      </c>
      <c r="C126" s="335" t="s">
        <v>1092</v>
      </c>
      <c r="D126" s="303" t="s">
        <v>740</v>
      </c>
      <c r="E126" s="303"/>
      <c r="F126" s="303"/>
      <c r="G126" s="306"/>
      <c r="H126" s="306"/>
      <c r="I126" s="306"/>
      <c r="J126" s="306"/>
      <c r="K126" s="306"/>
      <c r="L126" s="117" t="s">
        <v>115</v>
      </c>
      <c r="M126" s="118" t="s">
        <v>131</v>
      </c>
      <c r="N126" s="118"/>
      <c r="O126" s="118"/>
      <c r="P126" s="165" t="s">
        <v>203</v>
      </c>
      <c r="Q126" s="165" t="s">
        <v>203</v>
      </c>
      <c r="R126" s="165" t="s">
        <v>203</v>
      </c>
      <c r="S126" s="165" t="s">
        <v>203</v>
      </c>
      <c r="T126" s="165" t="s">
        <v>203</v>
      </c>
      <c r="U126" s="134"/>
      <c r="V126" s="134"/>
      <c r="W126" s="177">
        <v>42</v>
      </c>
      <c r="X126" s="177">
        <v>46</v>
      </c>
      <c r="Y126" s="239">
        <v>50</v>
      </c>
      <c r="Z126" s="239">
        <v>56</v>
      </c>
      <c r="AA126" s="239">
        <v>70</v>
      </c>
      <c r="AB126" s="239">
        <v>98</v>
      </c>
      <c r="AC126" s="239">
        <v>154</v>
      </c>
      <c r="AD126" s="297"/>
      <c r="AE126" s="297"/>
      <c r="AF126" s="297">
        <f>Y128*Y126*0.5*0.2</f>
        <v>280000.00000000006</v>
      </c>
      <c r="AG126" s="297">
        <f>ROUND(Z128*Z126*0.5*0.2,-3)</f>
        <v>351000</v>
      </c>
      <c r="AH126" s="297">
        <f>ROUND(AA128*AA126*0.5*0.2,-3)</f>
        <v>492000</v>
      </c>
      <c r="AI126" s="297">
        <f>ROUND(AB128*AB126*0.5*0.2,-3)</f>
        <v>771000</v>
      </c>
      <c r="AJ126" s="297">
        <f>ROUND(AC128*AC126*0.5*0.2,-3)</f>
        <v>1357000</v>
      </c>
      <c r="AK126" s="297">
        <f>SUM(AD126:AJ126)</f>
        <v>3251000</v>
      </c>
      <c r="AL126" s="315" t="s">
        <v>1095</v>
      </c>
      <c r="AM126" s="205"/>
      <c r="AN126" s="205"/>
      <c r="AO126" s="205"/>
      <c r="AP126" s="205"/>
      <c r="AQ126" s="205"/>
      <c r="AR126" s="205"/>
      <c r="AS126" s="205"/>
      <c r="AT126" s="205"/>
    </row>
    <row r="127" spans="2:46" ht="49.5" x14ac:dyDescent="0.25">
      <c r="B127" s="359"/>
      <c r="C127" s="336"/>
      <c r="D127" s="304"/>
      <c r="E127" s="304"/>
      <c r="F127" s="304"/>
      <c r="G127" s="307"/>
      <c r="H127" s="307"/>
      <c r="I127" s="307"/>
      <c r="J127" s="307"/>
      <c r="K127" s="307"/>
      <c r="L127" s="117" t="s">
        <v>148</v>
      </c>
      <c r="M127" s="118" t="s">
        <v>132</v>
      </c>
      <c r="N127" s="118"/>
      <c r="O127" s="118"/>
      <c r="P127" s="165" t="s">
        <v>203</v>
      </c>
      <c r="Q127" s="165" t="s">
        <v>203</v>
      </c>
      <c r="R127" s="165" t="s">
        <v>203</v>
      </c>
      <c r="S127" s="165" t="s">
        <v>203</v>
      </c>
      <c r="T127" s="165" t="s">
        <v>203</v>
      </c>
      <c r="U127" s="134"/>
      <c r="V127" s="134"/>
      <c r="W127" s="134"/>
      <c r="X127" s="134"/>
      <c r="Y127" s="134"/>
      <c r="Z127" s="134"/>
      <c r="AA127" s="134"/>
      <c r="AB127" s="134"/>
      <c r="AC127" s="134"/>
      <c r="AD127" s="298"/>
      <c r="AE127" s="298"/>
      <c r="AF127" s="298"/>
      <c r="AG127" s="298"/>
      <c r="AH127" s="298"/>
      <c r="AI127" s="298"/>
      <c r="AJ127" s="298"/>
      <c r="AK127" s="298"/>
      <c r="AL127" s="379"/>
      <c r="AM127" s="205"/>
      <c r="AN127" s="205"/>
      <c r="AO127" s="205"/>
      <c r="AP127" s="205"/>
      <c r="AQ127" s="205"/>
      <c r="AR127" s="205"/>
      <c r="AS127" s="205"/>
      <c r="AT127" s="205"/>
    </row>
    <row r="128" spans="2:46" ht="49.5" x14ac:dyDescent="0.25">
      <c r="B128" s="359"/>
      <c r="C128" s="337"/>
      <c r="D128" s="305"/>
      <c r="E128" s="305"/>
      <c r="F128" s="305"/>
      <c r="G128" s="308"/>
      <c r="H128" s="308"/>
      <c r="I128" s="308"/>
      <c r="J128" s="308"/>
      <c r="K128" s="308"/>
      <c r="L128" s="117" t="s">
        <v>149</v>
      </c>
      <c r="M128" s="118" t="s">
        <v>136</v>
      </c>
      <c r="N128" s="118"/>
      <c r="O128" s="118"/>
      <c r="P128" s="165" t="s">
        <v>203</v>
      </c>
      <c r="Q128" s="165" t="s">
        <v>203</v>
      </c>
      <c r="R128" s="165" t="s">
        <v>203</v>
      </c>
      <c r="S128" s="165" t="s">
        <v>203</v>
      </c>
      <c r="T128" s="165" t="s">
        <v>203</v>
      </c>
      <c r="U128" s="134"/>
      <c r="V128" s="134"/>
      <c r="W128" s="177">
        <f t="shared" ref="W128" si="76">W83</f>
        <v>50000</v>
      </c>
      <c r="X128" s="177">
        <f>X83</f>
        <v>50000</v>
      </c>
      <c r="Y128" s="177">
        <f>Y83</f>
        <v>56000.000000000007</v>
      </c>
      <c r="Z128" s="177">
        <f t="shared" ref="Z128:AC128" si="77">Z83</f>
        <v>62720.000000000015</v>
      </c>
      <c r="AA128" s="177">
        <f t="shared" si="77"/>
        <v>70246.400000000023</v>
      </c>
      <c r="AB128" s="177">
        <f t="shared" si="77"/>
        <v>78675.968000000037</v>
      </c>
      <c r="AC128" s="177">
        <f t="shared" si="77"/>
        <v>88117.084160000057</v>
      </c>
      <c r="AD128" s="299"/>
      <c r="AE128" s="299"/>
      <c r="AF128" s="299"/>
      <c r="AG128" s="299"/>
      <c r="AH128" s="299"/>
      <c r="AI128" s="299"/>
      <c r="AJ128" s="299"/>
      <c r="AK128" s="299"/>
      <c r="AL128" s="316"/>
      <c r="AM128" s="205"/>
      <c r="AN128" s="205"/>
      <c r="AO128" s="205"/>
      <c r="AP128" s="205"/>
      <c r="AQ128" s="205"/>
      <c r="AR128" s="205"/>
      <c r="AS128" s="205"/>
      <c r="AT128" s="205"/>
    </row>
    <row r="129" spans="2:46" ht="180" customHeight="1" x14ac:dyDescent="0.25">
      <c r="B129" s="184" t="s">
        <v>39</v>
      </c>
      <c r="C129" s="126" t="s">
        <v>1093</v>
      </c>
      <c r="D129" s="64" t="s">
        <v>740</v>
      </c>
      <c r="E129" s="126"/>
      <c r="F129" s="126"/>
      <c r="G129" s="133"/>
      <c r="H129" s="133"/>
      <c r="I129" s="133"/>
      <c r="J129" s="133"/>
      <c r="K129" s="133"/>
      <c r="L129" s="117" t="s">
        <v>116</v>
      </c>
      <c r="M129" s="118" t="s">
        <v>150</v>
      </c>
      <c r="N129" s="118"/>
      <c r="O129" s="118"/>
      <c r="P129" s="165" t="s">
        <v>203</v>
      </c>
      <c r="Q129" s="165" t="s">
        <v>203</v>
      </c>
      <c r="R129" s="165" t="s">
        <v>203</v>
      </c>
      <c r="S129" s="165" t="s">
        <v>203</v>
      </c>
      <c r="T129" s="165" t="s">
        <v>203</v>
      </c>
      <c r="U129" s="134"/>
      <c r="V129" s="134"/>
      <c r="W129" s="177">
        <v>18</v>
      </c>
      <c r="X129" s="177">
        <v>19</v>
      </c>
      <c r="Y129" s="177">
        <v>20</v>
      </c>
      <c r="Z129" s="177">
        <f>ROUND(Y129*'Strategic level'!R19/'Strategic level'!Q19,0)</f>
        <v>21</v>
      </c>
      <c r="AA129" s="177">
        <f>ROUND(Z129*'Strategic level'!S19/'Strategic level'!R19,0)</f>
        <v>22</v>
      </c>
      <c r="AB129" s="177">
        <f>ROUND(AA129*'Strategic level'!T19/'Strategic level'!S19,0)</f>
        <v>23</v>
      </c>
      <c r="AC129" s="177">
        <f>ROUND(AB129*'Strategic level'!U19/'Strategic level'!T19,0)</f>
        <v>24</v>
      </c>
      <c r="AD129" s="219"/>
      <c r="AE129" s="219"/>
      <c r="AF129" s="219">
        <f>5000*Y129</f>
        <v>100000</v>
      </c>
      <c r="AG129" s="219">
        <f t="shared" ref="AG129:AH129" si="78">5000*Z129</f>
        <v>105000</v>
      </c>
      <c r="AH129" s="219">
        <f t="shared" si="78"/>
        <v>110000</v>
      </c>
      <c r="AI129" s="219">
        <f>5000*AB129</f>
        <v>115000</v>
      </c>
      <c r="AJ129" s="219">
        <f t="shared" ref="AJ129" si="79">5000*AC129</f>
        <v>120000</v>
      </c>
      <c r="AK129" s="219">
        <f>SUM(AD129:AJ129)</f>
        <v>550000</v>
      </c>
      <c r="AL129" s="130" t="s">
        <v>398</v>
      </c>
      <c r="AM129" s="205"/>
      <c r="AN129" s="205"/>
      <c r="AO129" s="205"/>
      <c r="AP129" s="205"/>
      <c r="AQ129" s="205"/>
      <c r="AR129" s="205"/>
      <c r="AS129" s="205"/>
      <c r="AT129" s="205"/>
    </row>
  </sheetData>
  <dataConsolidate/>
  <mergeCells count="366">
    <mergeCell ref="V19:V21"/>
    <mergeCell ref="V36:V38"/>
    <mergeCell ref="V41:V53"/>
    <mergeCell ref="V54:V65"/>
    <mergeCell ref="V73:V77"/>
    <mergeCell ref="V86:V112"/>
    <mergeCell ref="V113:V116"/>
    <mergeCell ref="I19:I22"/>
    <mergeCell ref="J19:J22"/>
    <mergeCell ref="K19:K22"/>
    <mergeCell ref="I30:I32"/>
    <mergeCell ref="J30:J32"/>
    <mergeCell ref="I41:I65"/>
    <mergeCell ref="J41:J65"/>
    <mergeCell ref="K41:K65"/>
    <mergeCell ref="E14:E16"/>
    <mergeCell ref="D14:D16"/>
    <mergeCell ref="E41:E65"/>
    <mergeCell ref="D41:D65"/>
    <mergeCell ref="D30:D32"/>
    <mergeCell ref="E30:E32"/>
    <mergeCell ref="F30:F32"/>
    <mergeCell ref="G30:G32"/>
    <mergeCell ref="H30:H32"/>
    <mergeCell ref="F41:F65"/>
    <mergeCell ref="G41:G65"/>
    <mergeCell ref="H41:H65"/>
    <mergeCell ref="E4:E7"/>
    <mergeCell ref="F4:F7"/>
    <mergeCell ref="G4:G7"/>
    <mergeCell ref="H4:H7"/>
    <mergeCell ref="I4:I7"/>
    <mergeCell ref="J4:J7"/>
    <mergeCell ref="K4:K7"/>
    <mergeCell ref="D4:D7"/>
    <mergeCell ref="D36:D38"/>
    <mergeCell ref="E36:E38"/>
    <mergeCell ref="F36:F38"/>
    <mergeCell ref="G36:G38"/>
    <mergeCell ref="H36:H38"/>
    <mergeCell ref="I36:I38"/>
    <mergeCell ref="J36:J38"/>
    <mergeCell ref="K36:K38"/>
    <mergeCell ref="K30:K32"/>
    <mergeCell ref="E23:E24"/>
    <mergeCell ref="D23:D24"/>
    <mergeCell ref="D19:D22"/>
    <mergeCell ref="E19:E22"/>
    <mergeCell ref="F19:F22"/>
    <mergeCell ref="G19:G22"/>
    <mergeCell ref="H19:H22"/>
    <mergeCell ref="AK113:AK116"/>
    <mergeCell ref="AK118:AK121"/>
    <mergeCell ref="AK126:AK128"/>
    <mergeCell ref="AK123:AK125"/>
    <mergeCell ref="AK86:AK112"/>
    <mergeCell ref="AK73:AK77"/>
    <mergeCell ref="AK36:AK38"/>
    <mergeCell ref="AD2:AK2"/>
    <mergeCell ref="AK14:AK16"/>
    <mergeCell ref="AK23:AK24"/>
    <mergeCell ref="AK41:AK65"/>
    <mergeCell ref="AK78:AK80"/>
    <mergeCell ref="AK81:AK83"/>
    <mergeCell ref="AK84:AK85"/>
    <mergeCell ref="AK30:AK32"/>
    <mergeCell ref="AK19:AK22"/>
    <mergeCell ref="AK4:AK7"/>
    <mergeCell ref="AJ126:AJ128"/>
    <mergeCell ref="AD113:AD116"/>
    <mergeCell ref="AE113:AE116"/>
    <mergeCell ref="AF113:AF116"/>
    <mergeCell ref="AG113:AG116"/>
    <mergeCell ref="AH113:AH116"/>
    <mergeCell ref="AI113:AI116"/>
    <mergeCell ref="AL126:AL128"/>
    <mergeCell ref="AD123:AD125"/>
    <mergeCell ref="AD126:AD128"/>
    <mergeCell ref="AE123:AE125"/>
    <mergeCell ref="AF123:AF125"/>
    <mergeCell ref="AG123:AG125"/>
    <mergeCell ref="AL113:AL116"/>
    <mergeCell ref="AD118:AD121"/>
    <mergeCell ref="AE118:AE121"/>
    <mergeCell ref="AF118:AF121"/>
    <mergeCell ref="AG118:AG121"/>
    <mergeCell ref="AH118:AH121"/>
    <mergeCell ref="AI118:AI121"/>
    <mergeCell ref="AJ118:AJ121"/>
    <mergeCell ref="AL118:AL121"/>
    <mergeCell ref="AH123:AH125"/>
    <mergeCell ref="AI123:AI125"/>
    <mergeCell ref="AJ123:AJ125"/>
    <mergeCell ref="AL123:AL125"/>
    <mergeCell ref="AE126:AE128"/>
    <mergeCell ref="AF126:AF128"/>
    <mergeCell ref="AG126:AG128"/>
    <mergeCell ref="AH126:AH128"/>
    <mergeCell ref="AI126:AI128"/>
    <mergeCell ref="AL78:AL80"/>
    <mergeCell ref="AL81:AL83"/>
    <mergeCell ref="AL84:AL85"/>
    <mergeCell ref="AG78:AG80"/>
    <mergeCell ref="AH78:AH80"/>
    <mergeCell ref="AI78:AI80"/>
    <mergeCell ref="AJ78:AJ80"/>
    <mergeCell ref="AI86:AI112"/>
    <mergeCell ref="AJ86:AJ112"/>
    <mergeCell ref="AG81:AG83"/>
    <mergeCell ref="AH81:AH83"/>
    <mergeCell ref="AI81:AI83"/>
    <mergeCell ref="AJ81:AJ83"/>
    <mergeCell ref="AG84:AG85"/>
    <mergeCell ref="AH84:AH85"/>
    <mergeCell ref="AI84:AI85"/>
    <mergeCell ref="AJ84:AJ85"/>
    <mergeCell ref="AJ113:AJ116"/>
    <mergeCell ref="AD86:AD112"/>
    <mergeCell ref="AE86:AE112"/>
    <mergeCell ref="AF86:AF112"/>
    <mergeCell ref="AG86:AG112"/>
    <mergeCell ref="AH86:AH112"/>
    <mergeCell ref="AE81:AE83"/>
    <mergeCell ref="AF81:AF83"/>
    <mergeCell ref="AD78:AD80"/>
    <mergeCell ref="AD81:AD83"/>
    <mergeCell ref="AL73:AL77"/>
    <mergeCell ref="AL70:AL72"/>
    <mergeCell ref="AL41:AL65"/>
    <mergeCell ref="AL36:AL38"/>
    <mergeCell ref="U73:U77"/>
    <mergeCell ref="W73:W77"/>
    <mergeCell ref="X73:X77"/>
    <mergeCell ref="Y73:Y77"/>
    <mergeCell ref="Z73:Z77"/>
    <mergeCell ref="AA73:AA77"/>
    <mergeCell ref="AB73:AB77"/>
    <mergeCell ref="AC73:AC77"/>
    <mergeCell ref="U54:U65"/>
    <mergeCell ref="W54:W65"/>
    <mergeCell ref="X54:X65"/>
    <mergeCell ref="Y54:Y65"/>
    <mergeCell ref="Z54:Z65"/>
    <mergeCell ref="AA54:AA65"/>
    <mergeCell ref="AI41:AI65"/>
    <mergeCell ref="AJ41:AJ65"/>
    <mergeCell ref="AD41:AD65"/>
    <mergeCell ref="AI73:AI77"/>
    <mergeCell ref="AJ73:AJ77"/>
    <mergeCell ref="AA19:AA21"/>
    <mergeCell ref="AB19:AB21"/>
    <mergeCell ref="AC19:AC21"/>
    <mergeCell ref="U41:U53"/>
    <mergeCell ref="W41:W53"/>
    <mergeCell ref="X41:X53"/>
    <mergeCell ref="Y41:Y53"/>
    <mergeCell ref="Z41:Z53"/>
    <mergeCell ref="AA41:AA53"/>
    <mergeCell ref="AB41:AB53"/>
    <mergeCell ref="AC41:AC53"/>
    <mergeCell ref="U19:U21"/>
    <mergeCell ref="W19:W21"/>
    <mergeCell ref="X19:X21"/>
    <mergeCell ref="Y19:Y21"/>
    <mergeCell ref="Z19:Z21"/>
    <mergeCell ref="U36:U38"/>
    <mergeCell ref="W36:W38"/>
    <mergeCell ref="X36:X38"/>
    <mergeCell ref="Y36:Y38"/>
    <mergeCell ref="Z36:Z38"/>
    <mergeCell ref="AA36:AA38"/>
    <mergeCell ref="AB36:AB38"/>
    <mergeCell ref="AC36:AC38"/>
    <mergeCell ref="AJ4:AJ7"/>
    <mergeCell ref="AL4:AL7"/>
    <mergeCell ref="AD19:AD22"/>
    <mergeCell ref="AE19:AE22"/>
    <mergeCell ref="AF19:AF22"/>
    <mergeCell ref="AG19:AG22"/>
    <mergeCell ref="AH19:AH22"/>
    <mergeCell ref="AI19:AI22"/>
    <mergeCell ref="AJ19:AJ22"/>
    <mergeCell ref="AD14:AD16"/>
    <mergeCell ref="AE14:AE16"/>
    <mergeCell ref="AF14:AF16"/>
    <mergeCell ref="AG14:AG16"/>
    <mergeCell ref="AH14:AH16"/>
    <mergeCell ref="AI14:AI16"/>
    <mergeCell ref="AJ14:AJ16"/>
    <mergeCell ref="AL14:AL16"/>
    <mergeCell ref="AD4:AD7"/>
    <mergeCell ref="AE4:AE7"/>
    <mergeCell ref="AF4:AF7"/>
    <mergeCell ref="AG4:AG7"/>
    <mergeCell ref="AH4:AH7"/>
    <mergeCell ref="AI4:AI7"/>
    <mergeCell ref="AL19:AL22"/>
    <mergeCell ref="B4:B7"/>
    <mergeCell ref="E2:K2"/>
    <mergeCell ref="C41:C65"/>
    <mergeCell ref="C23:C24"/>
    <mergeCell ref="C14:C16"/>
    <mergeCell ref="B23:B24"/>
    <mergeCell ref="C30:C32"/>
    <mergeCell ref="C36:C38"/>
    <mergeCell ref="B126:B128"/>
    <mergeCell ref="B123:B125"/>
    <mergeCell ref="B118:B121"/>
    <mergeCell ref="B84:B85"/>
    <mergeCell ref="B86:B112"/>
    <mergeCell ref="B113:B116"/>
    <mergeCell ref="B81:B83"/>
    <mergeCell ref="B78:B80"/>
    <mergeCell ref="B30:B32"/>
    <mergeCell ref="B14:B16"/>
    <mergeCell ref="B73:B77"/>
    <mergeCell ref="B36:B38"/>
    <mergeCell ref="B41:B65"/>
    <mergeCell ref="B19:B22"/>
    <mergeCell ref="C84:C85"/>
    <mergeCell ref="C118:C121"/>
    <mergeCell ref="C123:C125"/>
    <mergeCell ref="C126:C128"/>
    <mergeCell ref="C86:C112"/>
    <mergeCell ref="C113:C116"/>
    <mergeCell ref="U2:AC2"/>
    <mergeCell ref="C78:C80"/>
    <mergeCell ref="C81:C83"/>
    <mergeCell ref="C73:C77"/>
    <mergeCell ref="C4:C7"/>
    <mergeCell ref="P2:T2"/>
    <mergeCell ref="C19:C22"/>
    <mergeCell ref="P22:AC22"/>
    <mergeCell ref="U86:U112"/>
    <mergeCell ref="W86:W112"/>
    <mergeCell ref="X86:X112"/>
    <mergeCell ref="Y86:Y112"/>
    <mergeCell ref="Z86:Z112"/>
    <mergeCell ref="AA86:AA112"/>
    <mergeCell ref="AB86:AB112"/>
    <mergeCell ref="AC86:AC112"/>
    <mergeCell ref="U113:U116"/>
    <mergeCell ref="W113:W116"/>
    <mergeCell ref="X113:X116"/>
    <mergeCell ref="Y113:Y116"/>
    <mergeCell ref="Z113:Z116"/>
    <mergeCell ref="AA113:AA116"/>
    <mergeCell ref="AB113:AB116"/>
    <mergeCell ref="AC113:AC116"/>
    <mergeCell ref="AD23:AD24"/>
    <mergeCell ref="AE23:AE24"/>
    <mergeCell ref="AF23:AF24"/>
    <mergeCell ref="AD36:AD38"/>
    <mergeCell ref="AD30:AD32"/>
    <mergeCell ref="AF30:AF32"/>
    <mergeCell ref="AB54:AB65"/>
    <mergeCell ref="AC54:AC65"/>
    <mergeCell ref="AD73:AD77"/>
    <mergeCell ref="AE73:AE77"/>
    <mergeCell ref="AF73:AF77"/>
    <mergeCell ref="AD84:AD85"/>
    <mergeCell ref="AE78:AE80"/>
    <mergeCell ref="AF78:AF80"/>
    <mergeCell ref="AE84:AE85"/>
    <mergeCell ref="AF84:AF85"/>
    <mergeCell ref="AG23:AG24"/>
    <mergeCell ref="AH23:AH24"/>
    <mergeCell ref="AI23:AI24"/>
    <mergeCell ref="AJ23:AJ24"/>
    <mergeCell ref="AL23:AL24"/>
    <mergeCell ref="AL86:AL112"/>
    <mergeCell ref="AE41:AE65"/>
    <mergeCell ref="AF41:AF65"/>
    <mergeCell ref="AG41:AG65"/>
    <mergeCell ref="AH41:AH65"/>
    <mergeCell ref="AI30:AI32"/>
    <mergeCell ref="AJ30:AJ32"/>
    <mergeCell ref="AE36:AE38"/>
    <mergeCell ref="AF36:AF38"/>
    <mergeCell ref="AG36:AG38"/>
    <mergeCell ref="AH36:AH38"/>
    <mergeCell ref="AI36:AI38"/>
    <mergeCell ref="AJ36:AJ38"/>
    <mergeCell ref="AE30:AE32"/>
    <mergeCell ref="AG30:AG32"/>
    <mergeCell ref="AH30:AH32"/>
    <mergeCell ref="AL30:AL32"/>
    <mergeCell ref="AG73:AG77"/>
    <mergeCell ref="AH73:AH77"/>
    <mergeCell ref="E73:E77"/>
    <mergeCell ref="F73:F77"/>
    <mergeCell ref="G73:G77"/>
    <mergeCell ref="H73:H77"/>
    <mergeCell ref="I73:I77"/>
    <mergeCell ref="J73:J77"/>
    <mergeCell ref="K73:K77"/>
    <mergeCell ref="D73:D77"/>
    <mergeCell ref="I78:I80"/>
    <mergeCell ref="J78:J80"/>
    <mergeCell ref="K78:K80"/>
    <mergeCell ref="D78:D80"/>
    <mergeCell ref="E78:E80"/>
    <mergeCell ref="F78:F80"/>
    <mergeCell ref="G78:G80"/>
    <mergeCell ref="H78:H80"/>
    <mergeCell ref="E84:E85"/>
    <mergeCell ref="F84:F85"/>
    <mergeCell ref="G84:G85"/>
    <mergeCell ref="H84:H85"/>
    <mergeCell ref="I84:I85"/>
    <mergeCell ref="J84:J85"/>
    <mergeCell ref="K84:K85"/>
    <mergeCell ref="D84:D85"/>
    <mergeCell ref="E81:E83"/>
    <mergeCell ref="D81:D83"/>
    <mergeCell ref="D118:D121"/>
    <mergeCell ref="E86:E112"/>
    <mergeCell ref="F86:F112"/>
    <mergeCell ref="G86:G112"/>
    <mergeCell ref="H86:H112"/>
    <mergeCell ref="I86:I112"/>
    <mergeCell ref="J86:J112"/>
    <mergeCell ref="K86:K112"/>
    <mergeCell ref="D86:D112"/>
    <mergeCell ref="E113:E116"/>
    <mergeCell ref="D113:D116"/>
    <mergeCell ref="F113:F116"/>
    <mergeCell ref="G113:G116"/>
    <mergeCell ref="H113:H116"/>
    <mergeCell ref="I113:I116"/>
    <mergeCell ref="J113:J116"/>
    <mergeCell ref="K113:K116"/>
    <mergeCell ref="E118:E121"/>
    <mergeCell ref="F118:F121"/>
    <mergeCell ref="G118:G121"/>
    <mergeCell ref="H118:H121"/>
    <mergeCell ref="I118:I121"/>
    <mergeCell ref="J118:J121"/>
    <mergeCell ref="K118:K121"/>
    <mergeCell ref="D123:D125"/>
    <mergeCell ref="E126:E128"/>
    <mergeCell ref="F126:F128"/>
    <mergeCell ref="G126:G128"/>
    <mergeCell ref="H126:H128"/>
    <mergeCell ref="I126:I128"/>
    <mergeCell ref="J126:J128"/>
    <mergeCell ref="K126:K128"/>
    <mergeCell ref="D126:D128"/>
    <mergeCell ref="E123:E125"/>
    <mergeCell ref="F123:F125"/>
    <mergeCell ref="G123:G125"/>
    <mergeCell ref="H123:H125"/>
    <mergeCell ref="I123:I125"/>
    <mergeCell ref="J123:J125"/>
    <mergeCell ref="K123:K125"/>
    <mergeCell ref="AP2:AT2"/>
    <mergeCell ref="AP4:AP7"/>
    <mergeCell ref="AQ4:AQ7"/>
    <mergeCell ref="AR4:AR7"/>
    <mergeCell ref="AS4:AS7"/>
    <mergeCell ref="AT4:AT7"/>
    <mergeCell ref="AP14:AP16"/>
    <mergeCell ref="AQ14:AQ16"/>
    <mergeCell ref="AR14:AR16"/>
    <mergeCell ref="AS14:AS16"/>
    <mergeCell ref="AT14:AT16"/>
  </mergeCells>
  <pageMargins left="0.7" right="0.7" top="0.75" bottom="0.75" header="0.3" footer="0.3"/>
  <pageSetup paperSize="9" scale="19" orientation="portrait" r:id="rId1"/>
  <rowBreaks count="1" manualBreakCount="1">
    <brk id="85" max="16383" man="1"/>
  </rowBreaks>
  <colBreaks count="1" manualBreakCount="1">
    <brk id="13"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56"/>
  <sheetViews>
    <sheetView zoomScale="85" zoomScaleNormal="85" workbookViewId="0">
      <pane xSplit="3" ySplit="3" topLeftCell="AE4" activePane="bottomRight" state="frozen"/>
      <selection pane="topRight" activeCell="D1" sqref="D1"/>
      <selection pane="bottomLeft" activeCell="A4" sqref="A4"/>
      <selection pane="bottomRight" activeCell="AP53" sqref="AP53"/>
    </sheetView>
  </sheetViews>
  <sheetFormatPr defaultColWidth="8.85546875" defaultRowHeight="16.5" x14ac:dyDescent="0.25"/>
  <cols>
    <col min="1" max="1" width="3.28515625" style="56" customWidth="1"/>
    <col min="2" max="2" width="20.7109375" style="59" customWidth="1"/>
    <col min="3" max="3" width="50.7109375" style="58" customWidth="1"/>
    <col min="4" max="4" width="30.7109375" style="57" customWidth="1"/>
    <col min="5" max="11" width="6.42578125" style="58" bestFit="1" customWidth="1"/>
    <col min="12" max="12" width="20.7109375" style="59" customWidth="1"/>
    <col min="13" max="13" width="35.42578125" style="58" customWidth="1"/>
    <col min="14" max="14" width="34.85546875" style="56" customWidth="1"/>
    <col min="15" max="15" width="50.7109375" style="56" customWidth="1"/>
    <col min="16" max="16" width="10.5703125" style="56" bestFit="1" customWidth="1"/>
    <col min="17" max="17" width="9.28515625" style="56" bestFit="1" customWidth="1"/>
    <col min="18" max="18" width="9.5703125" style="56" bestFit="1" customWidth="1"/>
    <col min="19" max="19" width="10.28515625" style="56" bestFit="1" customWidth="1"/>
    <col min="20" max="20" width="11" style="56" bestFit="1" customWidth="1" collapsed="1"/>
    <col min="21" max="21" width="13.140625" style="56" bestFit="1" customWidth="1"/>
    <col min="22" max="22" width="13.140625" style="56" customWidth="1"/>
    <col min="23" max="23" width="12.85546875" style="56" bestFit="1" customWidth="1"/>
    <col min="24" max="24" width="13.140625" style="56" bestFit="1" customWidth="1"/>
    <col min="25" max="25" width="13.5703125" style="56" bestFit="1" customWidth="1"/>
    <col min="26" max="26" width="14" style="56" bestFit="1" customWidth="1"/>
    <col min="27" max="27" width="14.140625" style="56" bestFit="1" customWidth="1"/>
    <col min="28" max="28" width="13.7109375" style="56" bestFit="1" customWidth="1"/>
    <col min="29" max="29" width="13.42578125" style="56" bestFit="1" customWidth="1"/>
    <col min="30" max="30" width="15" style="119" bestFit="1" customWidth="1"/>
    <col min="31" max="32" width="20" style="119" bestFit="1" customWidth="1"/>
    <col min="33" max="36" width="20.28515625" style="119" bestFit="1" customWidth="1"/>
    <col min="37" max="37" width="21" style="119" bestFit="1" customWidth="1"/>
    <col min="38" max="38" width="30.85546875" style="121" customWidth="1"/>
    <col min="39" max="39" width="9" style="56" bestFit="1" customWidth="1"/>
    <col min="40" max="41" width="8.85546875" style="56"/>
    <col min="42" max="42" width="17.140625" style="56" bestFit="1" customWidth="1"/>
    <col min="43" max="43" width="17.5703125" style="56" bestFit="1" customWidth="1"/>
    <col min="44" max="44" width="16.85546875" style="56" bestFit="1" customWidth="1"/>
    <col min="45" max="46" width="17.28515625" style="56" bestFit="1" customWidth="1"/>
    <col min="47" max="16384" width="8.85546875" style="56"/>
  </cols>
  <sheetData>
    <row r="1" spans="2:46" x14ac:dyDescent="0.25">
      <c r="AD1" s="56"/>
      <c r="AE1" s="56"/>
      <c r="AF1" s="56"/>
      <c r="AG1" s="56"/>
      <c r="AH1" s="56"/>
      <c r="AI1" s="56"/>
      <c r="AJ1" s="56"/>
      <c r="AK1" s="56"/>
      <c r="AL1" s="56"/>
    </row>
    <row r="2" spans="2:46" s="122" customFormat="1" ht="49.5" x14ac:dyDescent="0.25">
      <c r="B2" s="181" t="s">
        <v>40</v>
      </c>
      <c r="C2" s="181" t="s">
        <v>160</v>
      </c>
      <c r="D2" s="181" t="s">
        <v>337</v>
      </c>
      <c r="E2" s="287" t="s">
        <v>338</v>
      </c>
      <c r="F2" s="287"/>
      <c r="G2" s="287"/>
      <c r="H2" s="287"/>
      <c r="I2" s="287"/>
      <c r="J2" s="287"/>
      <c r="K2" s="287"/>
      <c r="L2" s="181" t="s">
        <v>41</v>
      </c>
      <c r="M2" s="181" t="s">
        <v>42</v>
      </c>
      <c r="N2" s="181" t="s">
        <v>238</v>
      </c>
      <c r="O2" s="181" t="s">
        <v>43</v>
      </c>
      <c r="P2" s="287" t="s">
        <v>44</v>
      </c>
      <c r="Q2" s="287"/>
      <c r="R2" s="287"/>
      <c r="S2" s="287"/>
      <c r="T2" s="287"/>
      <c r="U2" s="287" t="s">
        <v>336</v>
      </c>
      <c r="V2" s="287"/>
      <c r="W2" s="287"/>
      <c r="X2" s="287"/>
      <c r="Y2" s="287"/>
      <c r="Z2" s="287"/>
      <c r="AA2" s="287"/>
      <c r="AB2" s="287"/>
      <c r="AC2" s="287"/>
      <c r="AD2" s="294" t="s">
        <v>339</v>
      </c>
      <c r="AE2" s="295"/>
      <c r="AF2" s="295"/>
      <c r="AG2" s="295"/>
      <c r="AH2" s="295"/>
      <c r="AI2" s="295"/>
      <c r="AJ2" s="295"/>
      <c r="AK2" s="296"/>
      <c r="AL2" s="181" t="s">
        <v>350</v>
      </c>
      <c r="AM2" s="158"/>
      <c r="AP2" s="427" t="s">
        <v>952</v>
      </c>
      <c r="AQ2" s="428"/>
      <c r="AR2" s="428"/>
      <c r="AS2" s="428"/>
      <c r="AT2" s="429"/>
    </row>
    <row r="3" spans="2:46" s="123" customFormat="1" x14ac:dyDescent="0.25">
      <c r="B3" s="206"/>
      <c r="C3" s="146"/>
      <c r="D3" s="181"/>
      <c r="E3" s="181">
        <v>2025</v>
      </c>
      <c r="F3" s="181">
        <f>+E3+1</f>
        <v>2026</v>
      </c>
      <c r="G3" s="181">
        <f t="shared" ref="G3:K3" si="0">+F3+1</f>
        <v>2027</v>
      </c>
      <c r="H3" s="181">
        <f t="shared" si="0"/>
        <v>2028</v>
      </c>
      <c r="I3" s="181">
        <f t="shared" si="0"/>
        <v>2029</v>
      </c>
      <c r="J3" s="181">
        <f t="shared" si="0"/>
        <v>2030</v>
      </c>
      <c r="K3" s="181">
        <f t="shared" si="0"/>
        <v>2031</v>
      </c>
      <c r="L3" s="206"/>
      <c r="M3" s="146"/>
      <c r="N3" s="207"/>
      <c r="O3" s="207"/>
      <c r="P3" s="206">
        <v>2018</v>
      </c>
      <c r="Q3" s="206">
        <v>2019</v>
      </c>
      <c r="R3" s="206">
        <v>2020</v>
      </c>
      <c r="S3" s="206">
        <v>2021</v>
      </c>
      <c r="T3" s="206">
        <v>2022</v>
      </c>
      <c r="U3" s="181">
        <v>2023</v>
      </c>
      <c r="V3" s="181">
        <f>+U3+1</f>
        <v>2024</v>
      </c>
      <c r="W3" s="181">
        <f t="shared" ref="W3:AC3" si="1">+V3+1</f>
        <v>2025</v>
      </c>
      <c r="X3" s="181">
        <f t="shared" si="1"/>
        <v>2026</v>
      </c>
      <c r="Y3" s="181">
        <f t="shared" si="1"/>
        <v>2027</v>
      </c>
      <c r="Z3" s="181">
        <f t="shared" si="1"/>
        <v>2028</v>
      </c>
      <c r="AA3" s="181">
        <f t="shared" si="1"/>
        <v>2029</v>
      </c>
      <c r="AB3" s="181">
        <f t="shared" si="1"/>
        <v>2030</v>
      </c>
      <c r="AC3" s="181">
        <f t="shared" si="1"/>
        <v>2031</v>
      </c>
      <c r="AD3" s="181">
        <v>2025</v>
      </c>
      <c r="AE3" s="181">
        <f>+AD3+1</f>
        <v>2026</v>
      </c>
      <c r="AF3" s="181">
        <f t="shared" ref="AF3:AJ3" si="2">+AE3+1</f>
        <v>2027</v>
      </c>
      <c r="AG3" s="181">
        <f t="shared" si="2"/>
        <v>2028</v>
      </c>
      <c r="AH3" s="181">
        <f t="shared" si="2"/>
        <v>2029</v>
      </c>
      <c r="AI3" s="181">
        <f t="shared" si="2"/>
        <v>2030</v>
      </c>
      <c r="AJ3" s="181">
        <f t="shared" si="2"/>
        <v>2031</v>
      </c>
      <c r="AK3" s="181" t="s">
        <v>708</v>
      </c>
      <c r="AL3" s="181"/>
      <c r="AM3" s="244"/>
      <c r="AP3" s="171">
        <v>2031</v>
      </c>
      <c r="AQ3" s="171">
        <v>2032</v>
      </c>
      <c r="AR3" s="171">
        <v>2033</v>
      </c>
      <c r="AS3" s="171">
        <v>2034</v>
      </c>
      <c r="AT3" s="171">
        <v>2035</v>
      </c>
    </row>
    <row r="4" spans="2:46" ht="82.5" x14ac:dyDescent="0.25">
      <c r="B4" s="365" t="s">
        <v>2</v>
      </c>
      <c r="C4" s="401" t="s">
        <v>992</v>
      </c>
      <c r="D4" s="389"/>
      <c r="E4" s="389"/>
      <c r="F4" s="389"/>
      <c r="G4" s="389"/>
      <c r="H4" s="389"/>
      <c r="I4" s="389"/>
      <c r="J4" s="389"/>
      <c r="K4" s="389"/>
      <c r="L4" s="187" t="s">
        <v>71</v>
      </c>
      <c r="M4" s="90" t="s">
        <v>218</v>
      </c>
      <c r="N4" s="90" t="str">
        <f>'Strategic level'!F44</f>
        <v>Աշխատուժի հետազոտության միկրոտվյալների բազա, Արմստատ</v>
      </c>
      <c r="O4" s="90" t="str">
        <f>'Strategic level'!G44</f>
        <v>Չսովորող, չաշխատող երիտասարդների մասնաբաժինը նույն տարիքային խմբի աշխատանքային ռեսուրսների նկատմամբ (ՀՀ բնակչություն, 20-29 տարեկան)</v>
      </c>
      <c r="P4" s="147">
        <f>IF(ISBLANK('Strategic level'!H44)," ",'Strategic level'!H44)</f>
        <v>0.40985442329227323</v>
      </c>
      <c r="Q4" s="147">
        <f>IF(ISBLANK('Strategic level'!I44)," ",'Strategic level'!I44)</f>
        <v>0.39922574401161376</v>
      </c>
      <c r="R4" s="147">
        <f>IF(ISBLANK('Strategic level'!J44)," ",'Strategic level'!J44)</f>
        <v>0.40716180371352784</v>
      </c>
      <c r="S4" s="147">
        <f>IF(ISBLANK('Strategic level'!K44)," ",'Strategic level'!K44)</f>
        <v>0.38699274388605215</v>
      </c>
      <c r="T4" s="147">
        <f>IF(ISBLANK('Strategic level'!L44)," ",'Strategic level'!L44)</f>
        <v>0.35162488011250304</v>
      </c>
      <c r="U4" s="147">
        <f>IF(ISBLANK('Strategic level'!M44)," ",'Strategic level'!M44)</f>
        <v>0.32944684798771345</v>
      </c>
      <c r="V4" s="147">
        <f>+(U4+W4)/2</f>
        <v>0.32064140283810783</v>
      </c>
      <c r="W4" s="147">
        <f>IF(ISBLANK('Strategic level'!O44)," ",'Strategic level'!O44)</f>
        <v>0.31183595768850214</v>
      </c>
      <c r="X4" s="147">
        <f>IF(ISBLANK('Strategic level'!P44)," ",'Strategic level'!P44)</f>
        <v>0.29548155454886471</v>
      </c>
      <c r="Y4" s="147">
        <f>IF(ISBLANK('Strategic level'!Q44)," ",'Strategic level'!Q44)</f>
        <v>0.27684384198479534</v>
      </c>
      <c r="Z4" s="147">
        <f>IF(ISBLANK('Strategic level'!R44)," ",'Strategic level'!R44)</f>
        <v>0.25689927020776776</v>
      </c>
      <c r="AA4" s="147">
        <f>IF(ISBLANK('Strategic level'!S44)," ",'Strategic level'!S44)</f>
        <v>0.23648230200625212</v>
      </c>
      <c r="AB4" s="147">
        <f>IF(ISBLANK('Strategic level'!T44)," ",'Strategic level'!T44)</f>
        <v>0.21476704812076286</v>
      </c>
      <c r="AC4" s="147">
        <f>IF(ISBLANK('Strategic level'!U44)," ",'Strategic level'!U44)</f>
        <v>0.19649825954394742</v>
      </c>
      <c r="AD4" s="367">
        <f t="shared" ref="AD4:AJ4" si="3">AD7+AD41</f>
        <v>53000</v>
      </c>
      <c r="AE4" s="367">
        <f t="shared" si="3"/>
        <v>13640000</v>
      </c>
      <c r="AF4" s="367">
        <f t="shared" si="3"/>
        <v>19002000</v>
      </c>
      <c r="AG4" s="367">
        <f t="shared" si="3"/>
        <v>29758000</v>
      </c>
      <c r="AH4" s="367">
        <f t="shared" si="3"/>
        <v>41489000</v>
      </c>
      <c r="AI4" s="367">
        <f t="shared" si="3"/>
        <v>53919000</v>
      </c>
      <c r="AJ4" s="367">
        <f t="shared" si="3"/>
        <v>69565000</v>
      </c>
      <c r="AK4" s="367">
        <f>AK7+AK41</f>
        <v>227426000</v>
      </c>
      <c r="AL4" s="433"/>
      <c r="AM4" s="205"/>
      <c r="AP4" s="430">
        <f>SUM(AP7:AP1048576)</f>
        <v>38715000</v>
      </c>
      <c r="AQ4" s="430">
        <f t="shared" ref="AQ4:AT4" si="4">SUM(AQ7:AQ1048576)</f>
        <v>40263000</v>
      </c>
      <c r="AR4" s="430">
        <f t="shared" si="4"/>
        <v>41873000</v>
      </c>
      <c r="AS4" s="430">
        <f t="shared" si="4"/>
        <v>43549000</v>
      </c>
      <c r="AT4" s="430">
        <f t="shared" si="4"/>
        <v>45292000</v>
      </c>
    </row>
    <row r="5" spans="2:46" ht="66" x14ac:dyDescent="0.25">
      <c r="B5" s="365"/>
      <c r="C5" s="401"/>
      <c r="D5" s="390"/>
      <c r="E5" s="390"/>
      <c r="F5" s="390"/>
      <c r="G5" s="390"/>
      <c r="H5" s="390"/>
      <c r="I5" s="390"/>
      <c r="J5" s="390"/>
      <c r="K5" s="390"/>
      <c r="L5" s="187" t="s">
        <v>75</v>
      </c>
      <c r="M5" s="90" t="s">
        <v>219</v>
      </c>
      <c r="N5" s="90" t="str">
        <f>'Strategic level'!F48</f>
        <v>Արմստատբանկ, Արմստատ</v>
      </c>
      <c r="O5" s="90" t="str">
        <f>'Strategic level'!G48</f>
        <v>Զբաղվածների մասնաբաժինը նույն տարիքային խմբի աշխատանքային ռեսուրսների նկատմամբ (ՀՀ բնակչություն, 25-29 տարեկան)</v>
      </c>
      <c r="P5" s="147">
        <f>IF(ISBLANK('Strategic level'!H48)," ",'Strategic level'!H48)</f>
        <v>0.54100000000000004</v>
      </c>
      <c r="Q5" s="147">
        <f>IF(ISBLANK('Strategic level'!I48)," ",'Strategic level'!I48)</f>
        <v>0.55899999999999994</v>
      </c>
      <c r="R5" s="147">
        <f>IF(ISBLANK('Strategic level'!J48)," ",'Strategic level'!J48)</f>
        <v>0.53299999999999992</v>
      </c>
      <c r="S5" s="147">
        <f>IF(ISBLANK('Strategic level'!K48)," ",'Strategic level'!K48)</f>
        <v>0.56499999999999995</v>
      </c>
      <c r="T5" s="147">
        <f>IF(ISBLANK('Strategic level'!L48)," ",'Strategic level'!L48)</f>
        <v>0.53300129494969617</v>
      </c>
      <c r="U5" s="147">
        <f>IF(ISBLANK('Strategic level'!M48)," ",'Strategic level'!M48)</f>
        <v>0.58490612940052711</v>
      </c>
      <c r="V5" s="147">
        <f t="shared" ref="V5:V6" si="5">+(U5+W5)/2</f>
        <v>0.60817240221290003</v>
      </c>
      <c r="W5" s="147">
        <f>IF(ISBLANK('Strategic level'!O48)," ",'Strategic level'!O48)</f>
        <v>0.63143867502527307</v>
      </c>
      <c r="X5" s="147">
        <f>IF(ISBLANK('Strategic level'!P48)," ",'Strategic level'!P48)</f>
        <v>0.67492631879804155</v>
      </c>
      <c r="Y5" s="147">
        <f>IF(ISBLANK('Strategic level'!Q48)," ",'Strategic level'!Q48)</f>
        <v>0.72278222835444117</v>
      </c>
      <c r="Z5" s="147">
        <f>IF(ISBLANK('Strategic level'!R48)," ",'Strategic level'!R48)</f>
        <v>0.76382073245872384</v>
      </c>
      <c r="AA5" s="147">
        <f>IF(ISBLANK('Strategic level'!S48)," ",'Strategic level'!S48)</f>
        <v>0.79204322736617105</v>
      </c>
      <c r="AB5" s="147">
        <f>IF(ISBLANK('Strategic level'!T48)," ",'Strategic level'!T48)</f>
        <v>0.79543349124191409</v>
      </c>
      <c r="AC5" s="147">
        <f>IF(ISBLANK('Strategic level'!U48)," ",'Strategic level'!U48)</f>
        <v>0.78654041591079704</v>
      </c>
      <c r="AD5" s="368"/>
      <c r="AE5" s="368"/>
      <c r="AF5" s="368"/>
      <c r="AG5" s="368"/>
      <c r="AH5" s="368"/>
      <c r="AI5" s="368"/>
      <c r="AJ5" s="368"/>
      <c r="AK5" s="368"/>
      <c r="AL5" s="434"/>
      <c r="AM5" s="205"/>
      <c r="AP5" s="431"/>
      <c r="AQ5" s="431"/>
      <c r="AR5" s="431"/>
      <c r="AS5" s="431"/>
      <c r="AT5" s="431"/>
    </row>
    <row r="6" spans="2:46" ht="82.5" x14ac:dyDescent="0.25">
      <c r="B6" s="365"/>
      <c r="C6" s="401"/>
      <c r="D6" s="391"/>
      <c r="E6" s="391"/>
      <c r="F6" s="391"/>
      <c r="G6" s="391"/>
      <c r="H6" s="391"/>
      <c r="I6" s="391"/>
      <c r="J6" s="391"/>
      <c r="K6" s="391"/>
      <c r="L6" s="187" t="s">
        <v>166</v>
      </c>
      <c r="M6" s="90" t="s">
        <v>1121</v>
      </c>
      <c r="N6" s="90" t="str">
        <f>'Strategic level'!F50</f>
        <v>Աշխատուժի հետազոտության միկրոտվյալների բազա, Արմստատ</v>
      </c>
      <c r="O6" s="90" t="str">
        <f>'Strategic level'!G50</f>
        <v>Աշխատանքի թերօգտագործման ագրեգացված ցուցանիշի հարաբերությունը նույն տարիքային խմբի զբաղվածների թվաքանակին (ՀՀ բնակչություն, 20-29 տարեկան)</v>
      </c>
      <c r="P6" s="147">
        <f>IF(ISBLANK('Strategic level'!H50)," ",'Strategic level'!H50)</f>
        <v>0.89137847053093033</v>
      </c>
      <c r="Q6" s="147">
        <f>IF(ISBLANK('Strategic level'!I50)," ",'Strategic level'!I50)</f>
        <v>0.82089552238805974</v>
      </c>
      <c r="R6" s="147">
        <f>IF(ISBLANK('Strategic level'!J50)," ",'Strategic level'!J50)</f>
        <v>0.88016055045871555</v>
      </c>
      <c r="S6" s="147">
        <f>IF(ISBLANK('Strategic level'!K50)," ",'Strategic level'!K50)</f>
        <v>0.81309994353472614</v>
      </c>
      <c r="T6" s="147">
        <f>IF(ISBLANK('Strategic level'!L50)," ",'Strategic level'!L50)</f>
        <v>0.70769704469958483</v>
      </c>
      <c r="U6" s="147">
        <f>IF(ISBLANK('Strategic level'!M50)," ",'Strategic level'!M50)</f>
        <v>0.63919665395971226</v>
      </c>
      <c r="V6" s="147">
        <f t="shared" si="5"/>
        <v>0.60932883552516626</v>
      </c>
      <c r="W6" s="147">
        <f>IF(ISBLANK('Strategic level'!O50)," ",'Strategic level'!O50)</f>
        <v>0.57946101709062037</v>
      </c>
      <c r="X6" s="147">
        <f>IF(ISBLANK('Strategic level'!P50)," ",'Strategic level'!P50)</f>
        <v>0.52725043546223616</v>
      </c>
      <c r="Y6" s="147">
        <f>IF(ISBLANK('Strategic level'!Q50)," ",'Strategic level'!Q50)</f>
        <v>0.48108963886116607</v>
      </c>
      <c r="Z6" s="147">
        <f>IF(ISBLANK('Strategic level'!R50)," ",'Strategic level'!R50)</f>
        <v>0.44025071684072026</v>
      </c>
      <c r="AA6" s="147">
        <f>IF(ISBLANK('Strategic level'!S50)," ",'Strategic level'!S50)</f>
        <v>0.40392665356566027</v>
      </c>
      <c r="AB6" s="147">
        <f>IF(ISBLANK('Strategic level'!T50)," ",'Strategic level'!T50)</f>
        <v>0.37146417058294984</v>
      </c>
      <c r="AC6" s="147">
        <f>IF(ISBLANK('Strategic level'!U50)," ",'Strategic level'!U50)</f>
        <v>0.34232877507975068</v>
      </c>
      <c r="AD6" s="369"/>
      <c r="AE6" s="369"/>
      <c r="AF6" s="369"/>
      <c r="AG6" s="369"/>
      <c r="AH6" s="369"/>
      <c r="AI6" s="369"/>
      <c r="AJ6" s="369"/>
      <c r="AK6" s="369"/>
      <c r="AL6" s="435"/>
      <c r="AM6" s="205"/>
      <c r="AP6" s="432"/>
      <c r="AQ6" s="432"/>
      <c r="AR6" s="432"/>
      <c r="AS6" s="432"/>
      <c r="AT6" s="432"/>
    </row>
    <row r="7" spans="2:46" x14ac:dyDescent="0.25">
      <c r="B7" s="128" t="s">
        <v>402</v>
      </c>
      <c r="C7" s="129" t="s">
        <v>403</v>
      </c>
      <c r="D7" s="128"/>
      <c r="E7" s="129"/>
      <c r="F7" s="129"/>
      <c r="G7" s="129"/>
      <c r="H7" s="129"/>
      <c r="I7" s="129"/>
      <c r="J7" s="129"/>
      <c r="K7" s="129"/>
      <c r="L7" s="128"/>
      <c r="M7" s="129"/>
      <c r="N7" s="129"/>
      <c r="O7" s="129"/>
      <c r="P7" s="245"/>
      <c r="Q7" s="245"/>
      <c r="R7" s="245"/>
      <c r="S7" s="245"/>
      <c r="T7" s="245"/>
      <c r="U7" s="245"/>
      <c r="V7" s="245"/>
      <c r="W7" s="245"/>
      <c r="X7" s="245"/>
      <c r="Y7" s="245"/>
      <c r="Z7" s="245"/>
      <c r="AA7" s="245"/>
      <c r="AB7" s="245"/>
      <c r="AC7" s="245"/>
      <c r="AD7" s="246">
        <f t="shared" ref="AD7:AJ7" si="6">AD8+AD13+AD21+AD36+AD25</f>
        <v>38000</v>
      </c>
      <c r="AE7" s="246">
        <f t="shared" si="6"/>
        <v>10873000</v>
      </c>
      <c r="AF7" s="246">
        <f t="shared" si="6"/>
        <v>14394000</v>
      </c>
      <c r="AG7" s="246">
        <f t="shared" si="6"/>
        <v>23729000</v>
      </c>
      <c r="AH7" s="246">
        <f t="shared" si="6"/>
        <v>33890000</v>
      </c>
      <c r="AI7" s="246">
        <f t="shared" si="6"/>
        <v>44442000</v>
      </c>
      <c r="AJ7" s="246">
        <f t="shared" si="6"/>
        <v>57296000</v>
      </c>
      <c r="AK7" s="246">
        <f>AK8+AK13+AK21+AK36+AK25</f>
        <v>184662000</v>
      </c>
      <c r="AL7" s="247"/>
      <c r="AM7" s="205"/>
    </row>
    <row r="8" spans="2:46" ht="66" x14ac:dyDescent="0.25">
      <c r="B8" s="365" t="s">
        <v>404</v>
      </c>
      <c r="C8" s="401" t="s">
        <v>1029</v>
      </c>
      <c r="D8" s="309"/>
      <c r="E8" s="309"/>
      <c r="F8" s="309"/>
      <c r="G8" s="309"/>
      <c r="H8" s="309"/>
      <c r="I8" s="309"/>
      <c r="J8" s="309"/>
      <c r="K8" s="309"/>
      <c r="L8" s="114" t="s">
        <v>405</v>
      </c>
      <c r="M8" s="115" t="s">
        <v>406</v>
      </c>
      <c r="N8" s="115" t="s">
        <v>206</v>
      </c>
      <c r="O8" s="115" t="s">
        <v>407</v>
      </c>
      <c r="P8" s="127">
        <f>P10/P9</f>
        <v>0.15644153951386125</v>
      </c>
      <c r="Q8" s="140"/>
      <c r="R8" s="140"/>
      <c r="S8" s="127">
        <f>S10/S9</f>
        <v>0.16565676651018812</v>
      </c>
      <c r="T8" s="127">
        <f>T10/T9</f>
        <v>0.19211419762166743</v>
      </c>
      <c r="U8" s="127">
        <f t="shared" ref="U8:AC8" si="7">U10/U9</f>
        <v>0.18800692416138687</v>
      </c>
      <c r="V8" s="127">
        <f>+(U8+W8)/2</f>
        <v>0.18695322947820914</v>
      </c>
      <c r="W8" s="127">
        <f t="shared" si="7"/>
        <v>0.18589953479503143</v>
      </c>
      <c r="X8" s="127">
        <f t="shared" si="7"/>
        <v>0.18397830430643003</v>
      </c>
      <c r="Y8" s="127">
        <f t="shared" si="7"/>
        <v>0.2106837181133141</v>
      </c>
      <c r="Z8" s="127">
        <f t="shared" si="7"/>
        <v>0.23484816822156618</v>
      </c>
      <c r="AA8" s="127">
        <f t="shared" si="7"/>
        <v>0.25618369199722341</v>
      </c>
      <c r="AB8" s="127">
        <f t="shared" si="7"/>
        <v>0.28123026360567099</v>
      </c>
      <c r="AC8" s="127">
        <f t="shared" si="7"/>
        <v>0.30640006736058434</v>
      </c>
      <c r="AD8" s="415">
        <f>AD11+AD12</f>
        <v>0</v>
      </c>
      <c r="AE8" s="415">
        <f t="shared" ref="AE8:AJ8" si="8">AE11+AE12</f>
        <v>876000</v>
      </c>
      <c r="AF8" s="415">
        <f t="shared" si="8"/>
        <v>1874000</v>
      </c>
      <c r="AG8" s="415">
        <f t="shared" si="8"/>
        <v>3027000</v>
      </c>
      <c r="AH8" s="415">
        <f t="shared" si="8"/>
        <v>4353000</v>
      </c>
      <c r="AI8" s="415">
        <f t="shared" si="8"/>
        <v>5871000</v>
      </c>
      <c r="AJ8" s="415">
        <f t="shared" si="8"/>
        <v>7605000</v>
      </c>
      <c r="AK8" s="415">
        <f>AK11+AK12</f>
        <v>23606000</v>
      </c>
      <c r="AL8" s="421"/>
      <c r="AM8" s="205"/>
    </row>
    <row r="9" spans="2:46" ht="33" x14ac:dyDescent="0.25">
      <c r="B9" s="365"/>
      <c r="C9" s="401"/>
      <c r="D9" s="310"/>
      <c r="E9" s="310"/>
      <c r="F9" s="310"/>
      <c r="G9" s="310"/>
      <c r="H9" s="310"/>
      <c r="I9" s="310"/>
      <c r="J9" s="310"/>
      <c r="K9" s="310"/>
      <c r="L9" s="184"/>
      <c r="M9" s="126" t="s">
        <v>408</v>
      </c>
      <c r="N9" s="234" t="s">
        <v>206</v>
      </c>
      <c r="O9" s="234"/>
      <c r="P9" s="241">
        <v>447362</v>
      </c>
      <c r="Q9" s="241"/>
      <c r="R9" s="241"/>
      <c r="S9" s="241">
        <v>372149</v>
      </c>
      <c r="T9" s="241">
        <f>156851+183051</f>
        <v>339902</v>
      </c>
      <c r="U9" s="248">
        <f>'Strategic level'!M47*1000</f>
        <v>341361.73655268102</v>
      </c>
      <c r="V9" s="248">
        <f>+(U9+W9)/2</f>
        <v>340331.65856137197</v>
      </c>
      <c r="W9" s="248">
        <f>'Strategic level'!O47*1000</f>
        <v>339301.58057006297</v>
      </c>
      <c r="X9" s="248">
        <f>'Strategic level'!P47*1000</f>
        <v>336955.90856112196</v>
      </c>
      <c r="Y9" s="248">
        <f>'Strategic level'!Q47*1000</f>
        <v>338381.45550113398</v>
      </c>
      <c r="Z9" s="248">
        <f>'Strategic level'!R47*1000</f>
        <v>343159.371002662</v>
      </c>
      <c r="AA9" s="248">
        <f>'Strategic level'!S47*1000</f>
        <v>350878.057419363</v>
      </c>
      <c r="AB9" s="248">
        <f>'Strategic level'!T47*1000</f>
        <v>363715.30650965503</v>
      </c>
      <c r="AC9" s="248">
        <f>'Strategic level'!U47*1000</f>
        <v>374302.355256279</v>
      </c>
      <c r="AD9" s="416"/>
      <c r="AE9" s="416"/>
      <c r="AF9" s="416"/>
      <c r="AG9" s="416"/>
      <c r="AH9" s="416"/>
      <c r="AI9" s="416"/>
      <c r="AJ9" s="416"/>
      <c r="AK9" s="416"/>
      <c r="AL9" s="422"/>
      <c r="AM9" s="205"/>
    </row>
    <row r="10" spans="2:46" ht="49.5" x14ac:dyDescent="0.25">
      <c r="B10" s="365"/>
      <c r="C10" s="401"/>
      <c r="D10" s="311"/>
      <c r="E10" s="311"/>
      <c r="F10" s="311"/>
      <c r="G10" s="311"/>
      <c r="H10" s="311"/>
      <c r="I10" s="311"/>
      <c r="J10" s="311"/>
      <c r="K10" s="311"/>
      <c r="L10" s="184"/>
      <c r="M10" s="126" t="s">
        <v>409</v>
      </c>
      <c r="N10" s="234" t="s">
        <v>206</v>
      </c>
      <c r="O10" s="234"/>
      <c r="P10" s="241">
        <v>69986</v>
      </c>
      <c r="Q10" s="241"/>
      <c r="R10" s="241"/>
      <c r="S10" s="241">
        <v>61649</v>
      </c>
      <c r="T10" s="241">
        <f>55388+9912</f>
        <v>65300</v>
      </c>
      <c r="U10" s="249">
        <f>T10*(1+_xlfn.RRI(4,$P$10,$T$10))</f>
        <v>64178.370115659221</v>
      </c>
      <c r="V10" s="248">
        <f>+(U10+W10)/2</f>
        <v>63627.188049426404</v>
      </c>
      <c r="W10" s="249">
        <f>U10*(1+_xlfn.RRI(4,$P$10,$T$10))</f>
        <v>63076.00598319358</v>
      </c>
      <c r="X10" s="249">
        <f>W10*(1+_xlfn.RRI(4,$P$10,$T$10))</f>
        <v>61992.576683107705</v>
      </c>
      <c r="Y10" s="248">
        <f>X10*Y12/X12</f>
        <v>71291.463185573855</v>
      </c>
      <c r="Z10" s="248">
        <f t="shared" ref="Z10:AC10" si="9">Y10*Z12/Y12</f>
        <v>80590.349688040005</v>
      </c>
      <c r="AA10" s="248">
        <f t="shared" si="9"/>
        <v>89889.23619050617</v>
      </c>
      <c r="AB10" s="248">
        <f t="shared" si="9"/>
        <v>102287.75152712771</v>
      </c>
      <c r="AC10" s="248">
        <f t="shared" si="9"/>
        <v>114686.26686374925</v>
      </c>
      <c r="AD10" s="417"/>
      <c r="AE10" s="417"/>
      <c r="AF10" s="417"/>
      <c r="AG10" s="417"/>
      <c r="AH10" s="417"/>
      <c r="AI10" s="417"/>
      <c r="AJ10" s="417"/>
      <c r="AK10" s="417"/>
      <c r="AL10" s="423"/>
      <c r="AM10" s="205"/>
    </row>
    <row r="11" spans="2:46" ht="297" x14ac:dyDescent="0.25">
      <c r="B11" s="184" t="s">
        <v>410</v>
      </c>
      <c r="C11" s="126" t="s">
        <v>1123</v>
      </c>
      <c r="D11" s="64" t="s">
        <v>738</v>
      </c>
      <c r="E11" s="126"/>
      <c r="F11" s="133"/>
      <c r="G11" s="133"/>
      <c r="H11" s="133"/>
      <c r="I11" s="133"/>
      <c r="J11" s="133"/>
      <c r="K11" s="133"/>
      <c r="L11" s="184" t="s">
        <v>411</v>
      </c>
      <c r="M11" s="118" t="s">
        <v>412</v>
      </c>
      <c r="N11" s="218"/>
      <c r="O11" s="218"/>
      <c r="P11" s="165" t="s">
        <v>203</v>
      </c>
      <c r="Q11" s="165" t="s">
        <v>203</v>
      </c>
      <c r="R11" s="165" t="s">
        <v>203</v>
      </c>
      <c r="S11" s="165" t="s">
        <v>203</v>
      </c>
      <c r="T11" s="165" t="s">
        <v>203</v>
      </c>
      <c r="U11" s="134"/>
      <c r="V11" s="134"/>
      <c r="W11" s="134"/>
      <c r="X11" s="134">
        <v>0.05</v>
      </c>
      <c r="Y11" s="134">
        <v>0.1</v>
      </c>
      <c r="Z11" s="134">
        <v>0.15</v>
      </c>
      <c r="AA11" s="134">
        <v>0.2</v>
      </c>
      <c r="AB11" s="134">
        <v>0.25</v>
      </c>
      <c r="AC11" s="134">
        <v>0.3</v>
      </c>
      <c r="AD11" s="135"/>
      <c r="AE11" s="135">
        <f>ROUND(15863948.8*1.08^1*X11,-3)</f>
        <v>857000</v>
      </c>
      <c r="AF11" s="135">
        <f>ROUND(15863948.8*1.08^2*Y11,-3)</f>
        <v>1850000</v>
      </c>
      <c r="AG11" s="135">
        <f>ROUND(15863948.8*1.08^3*Z11,-3)</f>
        <v>2998000</v>
      </c>
      <c r="AH11" s="135">
        <f>ROUND(15863948.8*1.08^4*AA11,-3)</f>
        <v>4317000</v>
      </c>
      <c r="AI11" s="135">
        <f>ROUND(15863948.8*1.08^5*AB11,-3)</f>
        <v>5827000</v>
      </c>
      <c r="AJ11" s="135">
        <f>ROUND(15863948.8*1.08^6*AC11,-3)</f>
        <v>7552000</v>
      </c>
      <c r="AK11" s="135">
        <f>SUM(AD11:AJ11)</f>
        <v>23401000</v>
      </c>
      <c r="AL11" s="250" t="s">
        <v>1122</v>
      </c>
      <c r="AM11" s="205"/>
    </row>
    <row r="12" spans="2:46" ht="297" x14ac:dyDescent="0.25">
      <c r="B12" s="184" t="s">
        <v>413</v>
      </c>
      <c r="C12" s="174" t="s">
        <v>1005</v>
      </c>
      <c r="D12" s="64" t="s">
        <v>736</v>
      </c>
      <c r="E12" s="126"/>
      <c r="F12" s="133"/>
      <c r="G12" s="133"/>
      <c r="H12" s="133"/>
      <c r="I12" s="133"/>
      <c r="J12" s="133"/>
      <c r="K12" s="133"/>
      <c r="L12" s="184" t="s">
        <v>414</v>
      </c>
      <c r="M12" s="118" t="s">
        <v>415</v>
      </c>
      <c r="N12" s="218"/>
      <c r="O12" s="218"/>
      <c r="P12" s="165" t="s">
        <v>203</v>
      </c>
      <c r="Q12" s="165" t="s">
        <v>203</v>
      </c>
      <c r="R12" s="165" t="s">
        <v>203</v>
      </c>
      <c r="S12" s="165" t="s">
        <v>203</v>
      </c>
      <c r="T12" s="165" t="s">
        <v>203</v>
      </c>
      <c r="U12" s="134"/>
      <c r="V12" s="134"/>
      <c r="W12" s="134"/>
      <c r="X12" s="222">
        <v>2000</v>
      </c>
      <c r="Y12" s="222">
        <f>ROUND(X12*('Strategic level'!M45+'Strategic level'!M46)/('Strategic level'!P45+'Strategic level'!P46),-2)</f>
        <v>2300</v>
      </c>
      <c r="Z12" s="222">
        <f>ROUND(Y12*('Strategic level'!O45+'Strategic level'!O46)/('Strategic level'!Q45+'Strategic level'!Q46),-2)</f>
        <v>2600</v>
      </c>
      <c r="AA12" s="222">
        <f>ROUND(Z12*('Strategic level'!P45+'Strategic level'!P46)/('Strategic level'!R45+'Strategic level'!R46),-2)</f>
        <v>2900</v>
      </c>
      <c r="AB12" s="222">
        <f>ROUND(AA12*('Strategic level'!Q45+'Strategic level'!Q46)/('Strategic level'!S45+'Strategic level'!S46),-2)</f>
        <v>3300</v>
      </c>
      <c r="AC12" s="222">
        <f>ROUND(AB12*('Strategic level'!R45+'Strategic level'!R46)/('Strategic level'!T45+'Strategic level'!T46),-2)</f>
        <v>3700</v>
      </c>
      <c r="AD12" s="135"/>
      <c r="AE12" s="135">
        <f>ROUND((X12*50%)/50*Variables!H3*12*1.08^1*0.15,-3)</f>
        <v>19000</v>
      </c>
      <c r="AF12" s="135">
        <f>ROUND((Y12*50%)/50*Variables!H3*12*1.08^2*0.15,-3)</f>
        <v>24000</v>
      </c>
      <c r="AG12" s="135">
        <f>ROUND((Z12*50%)/50*Variables!H3*12*1.08^3*0.15,-3)</f>
        <v>29000</v>
      </c>
      <c r="AH12" s="135">
        <f>ROUND((AA12*50%)/50*Variables!H3*12*1.08^4*0.15,-3)</f>
        <v>36000</v>
      </c>
      <c r="AI12" s="135">
        <f>ROUND((AB12*50%)/50*Variables!H3*12*1.08^5*0.15,-3)</f>
        <v>44000</v>
      </c>
      <c r="AJ12" s="135">
        <f>ROUND((AC12*50%)/50*Variables!H3*12*1.08^6*0.15,-3)</f>
        <v>53000</v>
      </c>
      <c r="AK12" s="135">
        <f>SUM(AD12:AJ12)</f>
        <v>205000</v>
      </c>
      <c r="AL12" s="250" t="s">
        <v>1124</v>
      </c>
      <c r="AM12" s="205"/>
    </row>
    <row r="13" spans="2:46" ht="82.5" x14ac:dyDescent="0.25">
      <c r="B13" s="365" t="s">
        <v>416</v>
      </c>
      <c r="C13" s="401" t="s">
        <v>1033</v>
      </c>
      <c r="D13" s="309"/>
      <c r="E13" s="309"/>
      <c r="F13" s="309"/>
      <c r="G13" s="309"/>
      <c r="H13" s="309"/>
      <c r="I13" s="309"/>
      <c r="J13" s="309"/>
      <c r="K13" s="309"/>
      <c r="L13" s="114" t="s">
        <v>417</v>
      </c>
      <c r="M13" s="115" t="s">
        <v>1017</v>
      </c>
      <c r="N13" s="232"/>
      <c r="O13" s="232"/>
      <c r="P13" s="140" t="s">
        <v>203</v>
      </c>
      <c r="Q13" s="140" t="s">
        <v>203</v>
      </c>
      <c r="R13" s="140" t="s">
        <v>203</v>
      </c>
      <c r="S13" s="140" t="s">
        <v>203</v>
      </c>
      <c r="T13" s="140" t="s">
        <v>203</v>
      </c>
      <c r="U13" s="127"/>
      <c r="V13" s="127"/>
      <c r="W13" s="127"/>
      <c r="X13" s="127">
        <f>X16/(0.5*('Strategic level'!P45+'Strategic level'!P46)*1000)</f>
        <v>0.12454268769249559</v>
      </c>
      <c r="Y13" s="127">
        <f>Y16/(0.4*('Strategic level'!Q45+'Strategic level'!Q46)*1000)</f>
        <v>0.15745287626405136</v>
      </c>
      <c r="Z13" s="127">
        <f>Z16/(0.3*('Strategic level'!R45+'Strategic level'!R46)*1000)</f>
        <v>0.20796138500127101</v>
      </c>
      <c r="AA13" s="127">
        <f>AA16/(0.25*('Strategic level'!S45+'Strategic level'!S46)*1000)</f>
        <v>0.25067353223712285</v>
      </c>
      <c r="AB13" s="127">
        <f>AB16/(0.2*('Strategic level'!T45+'Strategic level'!T46)*1000)</f>
        <v>0.31364390920217289</v>
      </c>
      <c r="AC13" s="127">
        <f>AC16/(0.15*('Strategic level'!U45+'Strategic level'!U46)*1000)</f>
        <v>0.41695127357779077</v>
      </c>
      <c r="AD13" s="415">
        <f>AD16+AD17+AD18+AD19+AD20</f>
        <v>0</v>
      </c>
      <c r="AE13" s="415">
        <f t="shared" ref="AE13:AJ13" si="10">AE16+AE17+AE18+AE19+AE20</f>
        <v>2579000</v>
      </c>
      <c r="AF13" s="415">
        <f t="shared" si="10"/>
        <v>3038000</v>
      </c>
      <c r="AG13" s="415">
        <f t="shared" si="10"/>
        <v>3885000</v>
      </c>
      <c r="AH13" s="415">
        <f t="shared" si="10"/>
        <v>4254000</v>
      </c>
      <c r="AI13" s="415">
        <f t="shared" si="10"/>
        <v>4646000</v>
      </c>
      <c r="AJ13" s="415">
        <f t="shared" si="10"/>
        <v>4936000</v>
      </c>
      <c r="AK13" s="415">
        <f t="shared" ref="AK13" si="11">AK16+AK17+AK18+AK19+AK20</f>
        <v>23338000</v>
      </c>
      <c r="AL13" s="421"/>
      <c r="AM13" s="205"/>
    </row>
    <row r="14" spans="2:46" ht="82.5" x14ac:dyDescent="0.25">
      <c r="B14" s="365"/>
      <c r="C14" s="401"/>
      <c r="D14" s="310"/>
      <c r="E14" s="310"/>
      <c r="F14" s="310"/>
      <c r="G14" s="310"/>
      <c r="H14" s="310"/>
      <c r="I14" s="310"/>
      <c r="J14" s="310"/>
      <c r="K14" s="310"/>
      <c r="L14" s="114" t="s">
        <v>418</v>
      </c>
      <c r="M14" s="115" t="s">
        <v>1018</v>
      </c>
      <c r="N14" s="232"/>
      <c r="O14" s="232"/>
      <c r="P14" s="140" t="s">
        <v>203</v>
      </c>
      <c r="Q14" s="140" t="s">
        <v>203</v>
      </c>
      <c r="R14" s="140" t="s">
        <v>203</v>
      </c>
      <c r="S14" s="140" t="s">
        <v>203</v>
      </c>
      <c r="T14" s="140" t="s">
        <v>203</v>
      </c>
      <c r="U14" s="127"/>
      <c r="V14" s="127"/>
      <c r="W14" s="127"/>
      <c r="X14" s="127">
        <f>X16/(('Strategic level'!P45+'Strategic level'!P46)*1000)</f>
        <v>6.2271343846247794E-2</v>
      </c>
      <c r="Y14" s="127">
        <f>Y16/(('Strategic level'!Q45+'Strategic level'!Q46)*1000)</f>
        <v>6.2981150505620545E-2</v>
      </c>
      <c r="Z14" s="127">
        <f>Z16/(('Strategic level'!R45+'Strategic level'!R46)*1000)</f>
        <v>6.2388415500381295E-2</v>
      </c>
      <c r="AA14" s="127">
        <f>AA16/(('Strategic level'!S45+'Strategic level'!S46)*1000)</f>
        <v>6.2668383059280713E-2</v>
      </c>
      <c r="AB14" s="127">
        <f>AB16/(('Strategic level'!T45+'Strategic level'!T46)*1000)</f>
        <v>6.2728781840434594E-2</v>
      </c>
      <c r="AC14" s="127">
        <f>AC16/(('Strategic level'!U45+'Strategic level'!U46)*1000)</f>
        <v>6.254269103666861E-2</v>
      </c>
      <c r="AD14" s="416"/>
      <c r="AE14" s="416"/>
      <c r="AF14" s="416"/>
      <c r="AG14" s="416"/>
      <c r="AH14" s="416"/>
      <c r="AI14" s="416"/>
      <c r="AJ14" s="416"/>
      <c r="AK14" s="416"/>
      <c r="AL14" s="422"/>
      <c r="AM14" s="205"/>
    </row>
    <row r="15" spans="2:46" ht="99" x14ac:dyDescent="0.25">
      <c r="B15" s="365"/>
      <c r="C15" s="401"/>
      <c r="D15" s="311"/>
      <c r="E15" s="311"/>
      <c r="F15" s="311"/>
      <c r="G15" s="311"/>
      <c r="H15" s="311"/>
      <c r="I15" s="311"/>
      <c r="J15" s="311"/>
      <c r="K15" s="311"/>
      <c r="L15" s="114" t="s">
        <v>419</v>
      </c>
      <c r="M15" s="115" t="s">
        <v>162</v>
      </c>
      <c r="N15" s="232"/>
      <c r="O15" s="232"/>
      <c r="P15" s="140" t="s">
        <v>203</v>
      </c>
      <c r="Q15" s="140" t="s">
        <v>203</v>
      </c>
      <c r="R15" s="140" t="s">
        <v>203</v>
      </c>
      <c r="S15" s="140" t="s">
        <v>203</v>
      </c>
      <c r="T15" s="140" t="s">
        <v>203</v>
      </c>
      <c r="U15" s="127"/>
      <c r="V15" s="127"/>
      <c r="W15" s="127"/>
      <c r="X15" s="127"/>
      <c r="Y15" s="127">
        <f>1.4/1.08</f>
        <v>1.2962962962962961</v>
      </c>
      <c r="Z15" s="127">
        <f>1.3/1.08</f>
        <v>1.2037037037037037</v>
      </c>
      <c r="AA15" s="127">
        <f>1.3/1.08</f>
        <v>1.2037037037037037</v>
      </c>
      <c r="AB15" s="127">
        <f>1.25/1.08</f>
        <v>1.1574074074074074</v>
      </c>
      <c r="AC15" s="127">
        <f>1.2/1.08</f>
        <v>1.1111111111111109</v>
      </c>
      <c r="AD15" s="417"/>
      <c r="AE15" s="417"/>
      <c r="AF15" s="417"/>
      <c r="AG15" s="417"/>
      <c r="AH15" s="417"/>
      <c r="AI15" s="417"/>
      <c r="AJ15" s="417"/>
      <c r="AK15" s="417"/>
      <c r="AL15" s="423"/>
      <c r="AM15" s="205"/>
    </row>
    <row r="16" spans="2:46" ht="181.5" x14ac:dyDescent="0.25">
      <c r="B16" s="184" t="s">
        <v>420</v>
      </c>
      <c r="C16" s="174" t="s">
        <v>1037</v>
      </c>
      <c r="D16" s="64" t="s">
        <v>736</v>
      </c>
      <c r="E16" s="126"/>
      <c r="F16" s="133"/>
      <c r="G16" s="133"/>
      <c r="H16" s="133"/>
      <c r="I16" s="133"/>
      <c r="J16" s="133"/>
      <c r="K16" s="133"/>
      <c r="L16" s="184" t="s">
        <v>421</v>
      </c>
      <c r="M16" s="118" t="s">
        <v>1019</v>
      </c>
      <c r="N16" s="218"/>
      <c r="O16" s="218"/>
      <c r="P16" s="165" t="s">
        <v>203</v>
      </c>
      <c r="Q16" s="165" t="s">
        <v>203</v>
      </c>
      <c r="R16" s="165" t="s">
        <v>203</v>
      </c>
      <c r="S16" s="165" t="s">
        <v>203</v>
      </c>
      <c r="T16" s="165" t="s">
        <v>203</v>
      </c>
      <c r="U16" s="134"/>
      <c r="V16" s="134"/>
      <c r="W16" s="222"/>
      <c r="X16" s="222">
        <f>ROUND(('Strategic level'!O45-'Strategic level'!P45+'Strategic level'!O46-'Strategic level'!P46)*1000,-2)</f>
        <v>6200</v>
      </c>
      <c r="Y16" s="222">
        <f>ROUND(('Strategic level'!P45-'Strategic level'!Q45+'Strategic level'!P46-'Strategic level'!Q46)*1000,-2)</f>
        <v>5900</v>
      </c>
      <c r="Z16" s="222">
        <f>ROUND(('Strategic level'!Q45-'Strategic level'!R45+'Strategic level'!Q46-'Strategic level'!R46)*1000,-2)</f>
        <v>5500</v>
      </c>
      <c r="AA16" s="222">
        <f>ROUND(('Strategic level'!R45-'Strategic level'!S45+'Strategic level'!R46-'Strategic level'!S46)*1000,-2)</f>
        <v>5200</v>
      </c>
      <c r="AB16" s="222">
        <f>ROUND(('Strategic level'!S45-'Strategic level'!T45+'Strategic level'!S46-'Strategic level'!T46)*1000,-2)</f>
        <v>4900</v>
      </c>
      <c r="AC16" s="222">
        <f>ROUND(('Strategic level'!T45-'Strategic level'!U45+'Strategic level'!T46-'Strategic level'!U46)*1000,-2)</f>
        <v>4600</v>
      </c>
      <c r="AD16" s="135"/>
      <c r="AE16" s="135">
        <f>ROUND(X16*Variables!H4*1.04^1,-3)</f>
        <v>1934000</v>
      </c>
      <c r="AF16" s="135">
        <f>ROUND(Y16*Variables!H4*1.04^2,-3)</f>
        <v>1914000</v>
      </c>
      <c r="AG16" s="135">
        <f>ROUND(Z16*Variables!H4*1.04^3,-3)</f>
        <v>1856000</v>
      </c>
      <c r="AH16" s="135">
        <f>ROUND(AA16*Variables!H4*1.04^4,-3)</f>
        <v>1825000</v>
      </c>
      <c r="AI16" s="135">
        <f>ROUND(AB16*Variables!H4*1.04^5,-3)</f>
        <v>1788000</v>
      </c>
      <c r="AJ16" s="135">
        <f>ROUND(AC16*Variables!H4*1.04^6,-3)</f>
        <v>1746000</v>
      </c>
      <c r="AK16" s="135">
        <f>SUM(AD16:AJ16)</f>
        <v>11063000</v>
      </c>
      <c r="AL16" s="130" t="s">
        <v>1125</v>
      </c>
      <c r="AM16" s="205"/>
      <c r="AP16" s="170">
        <f>ROUND(AJ16*1.04,-3)</f>
        <v>1816000</v>
      </c>
      <c r="AQ16" s="170">
        <f>ROUND(AP16*1.04,-3)</f>
        <v>1889000</v>
      </c>
      <c r="AR16" s="170">
        <f t="shared" ref="AR16:AT24" si="12">ROUND(AQ16*1.04,-3)</f>
        <v>1965000</v>
      </c>
      <c r="AS16" s="170">
        <f t="shared" si="12"/>
        <v>2044000</v>
      </c>
      <c r="AT16" s="170">
        <f t="shared" si="12"/>
        <v>2126000</v>
      </c>
    </row>
    <row r="17" spans="2:46" ht="198" x14ac:dyDescent="0.25">
      <c r="B17" s="184" t="s">
        <v>422</v>
      </c>
      <c r="C17" s="126" t="s">
        <v>1048</v>
      </c>
      <c r="D17" s="64" t="s">
        <v>1042</v>
      </c>
      <c r="E17" s="126"/>
      <c r="F17" s="133"/>
      <c r="G17" s="133"/>
      <c r="H17" s="133"/>
      <c r="I17" s="133"/>
      <c r="J17" s="133"/>
      <c r="K17" s="133"/>
      <c r="L17" s="184" t="s">
        <v>423</v>
      </c>
      <c r="M17" s="118" t="s">
        <v>121</v>
      </c>
      <c r="N17" s="218"/>
      <c r="O17" s="218"/>
      <c r="P17" s="165" t="s">
        <v>203</v>
      </c>
      <c r="Q17" s="165" t="s">
        <v>203</v>
      </c>
      <c r="R17" s="165" t="s">
        <v>203</v>
      </c>
      <c r="S17" s="165" t="s">
        <v>203</v>
      </c>
      <c r="T17" s="165" t="s">
        <v>203</v>
      </c>
      <c r="U17" s="134"/>
      <c r="V17" s="134"/>
      <c r="W17" s="222"/>
      <c r="X17" s="222">
        <f t="shared" ref="X17:AC17" si="13">X16</f>
        <v>6200</v>
      </c>
      <c r="Y17" s="222">
        <f t="shared" si="13"/>
        <v>5900</v>
      </c>
      <c r="Z17" s="222">
        <f t="shared" si="13"/>
        <v>5500</v>
      </c>
      <c r="AA17" s="222">
        <f t="shared" si="13"/>
        <v>5200</v>
      </c>
      <c r="AB17" s="222">
        <f t="shared" si="13"/>
        <v>4900</v>
      </c>
      <c r="AC17" s="222">
        <f t="shared" si="13"/>
        <v>4600</v>
      </c>
      <c r="AD17" s="135"/>
      <c r="AE17" s="135">
        <f>ROUND(X17*Variables!H5*1.04^1,-3)</f>
        <v>645000</v>
      </c>
      <c r="AF17" s="135">
        <f>ROUND(Y17*Variables!H5*1.04^2,-3)</f>
        <v>638000</v>
      </c>
      <c r="AG17" s="135">
        <f>ROUND(Z17*Variables!H5*1.04^3,-3)</f>
        <v>619000</v>
      </c>
      <c r="AH17" s="135">
        <f>ROUND(AA17*Variables!H5*1.04^4,-3)</f>
        <v>608000</v>
      </c>
      <c r="AI17" s="135">
        <f>ROUND(AB17*Variables!H5*1.04^5,-3)</f>
        <v>596000</v>
      </c>
      <c r="AJ17" s="135">
        <f>ROUND(AC17*Variables!H5*1.04^6,-3)</f>
        <v>582000</v>
      </c>
      <c r="AK17" s="135">
        <f>SUM(AD17:AJ17)</f>
        <v>3688000</v>
      </c>
      <c r="AL17" s="130" t="s">
        <v>1126</v>
      </c>
      <c r="AM17" s="205"/>
      <c r="AP17" s="170">
        <f>ROUND(AJ17*1.04,-3)</f>
        <v>605000</v>
      </c>
      <c r="AQ17" s="170">
        <f>ROUND(AP17*1.04,-3)</f>
        <v>629000</v>
      </c>
      <c r="AR17" s="170">
        <f t="shared" si="12"/>
        <v>654000</v>
      </c>
      <c r="AS17" s="170">
        <f t="shared" si="12"/>
        <v>680000</v>
      </c>
      <c r="AT17" s="170">
        <f t="shared" si="12"/>
        <v>707000</v>
      </c>
    </row>
    <row r="18" spans="2:46" ht="214.5" x14ac:dyDescent="0.25">
      <c r="B18" s="184" t="s">
        <v>424</v>
      </c>
      <c r="C18" s="126" t="s">
        <v>1127</v>
      </c>
      <c r="D18" s="64" t="s">
        <v>738</v>
      </c>
      <c r="E18" s="126"/>
      <c r="F18" s="126"/>
      <c r="G18" s="133"/>
      <c r="H18" s="133"/>
      <c r="I18" s="133"/>
      <c r="J18" s="133"/>
      <c r="K18" s="133"/>
      <c r="L18" s="184" t="s">
        <v>425</v>
      </c>
      <c r="M18" s="118" t="s">
        <v>1128</v>
      </c>
      <c r="N18" s="218"/>
      <c r="O18" s="218"/>
      <c r="P18" s="165" t="s">
        <v>203</v>
      </c>
      <c r="Q18" s="165" t="s">
        <v>203</v>
      </c>
      <c r="R18" s="165" t="s">
        <v>203</v>
      </c>
      <c r="S18" s="165" t="s">
        <v>203</v>
      </c>
      <c r="T18" s="165" t="s">
        <v>203</v>
      </c>
      <c r="U18" s="134"/>
      <c r="V18" s="134"/>
      <c r="W18" s="134"/>
      <c r="X18" s="134"/>
      <c r="Y18" s="222">
        <f>ROUND(Y16/3,-2)</f>
        <v>2000</v>
      </c>
      <c r="Z18" s="222">
        <f>ROUND(Y18*('Strategic level'!R51+'Strategic level'!R52)/('Strategic level'!Q51+'Strategic level'!Q52),-2)</f>
        <v>2100</v>
      </c>
      <c r="AA18" s="222">
        <f>ROUND(Z18*('Strategic level'!S51+'Strategic level'!S52)/('Strategic level'!R51+'Strategic level'!R52),-2)</f>
        <v>2200</v>
      </c>
      <c r="AB18" s="222">
        <f>ROUND(AA18*('Strategic level'!T51+'Strategic level'!T52)/('Strategic level'!S51+'Strategic level'!S52),-2)</f>
        <v>2300</v>
      </c>
      <c r="AC18" s="222">
        <f>ROUND(AB18*('Strategic level'!U51+'Strategic level'!U52)/('Strategic level'!T51+'Strategic level'!T52),-2)</f>
        <v>2300</v>
      </c>
      <c r="AD18" s="135"/>
      <c r="AE18" s="135"/>
      <c r="AF18" s="135">
        <f>ROUND(Y18*Variables!H6*1.04^2+500*1.04^2*'StG 1'!Y70,-3)</f>
        <v>46000</v>
      </c>
      <c r="AG18" s="135">
        <f>ROUND(Z18*Variables!H6*1.04^3+500*1.04^3*'StG 1'!Z70,-3)</f>
        <v>52000</v>
      </c>
      <c r="AH18" s="135">
        <f>ROUND(AA18*Variables!H6*1.04^4+500*1.04^4*'StG 1'!AA70,-3)</f>
        <v>58000</v>
      </c>
      <c r="AI18" s="135">
        <f>ROUND(AB18*Variables!H6*1.04^5+500*1.04^5*'StG 1'!AB70,-3)</f>
        <v>64000</v>
      </c>
      <c r="AJ18" s="135">
        <f>ROUND(AC18*Variables!H6*1.04^6+500*1.04^6*'StG 1'!AC70,-3)</f>
        <v>68000</v>
      </c>
      <c r="AK18" s="135">
        <f>SUM(AD18:AJ18)</f>
        <v>288000</v>
      </c>
      <c r="AL18" s="250" t="s">
        <v>709</v>
      </c>
      <c r="AM18" s="205"/>
      <c r="AP18" s="170">
        <f>ROUND(AJ18*1.04,-3)</f>
        <v>71000</v>
      </c>
      <c r="AQ18" s="170">
        <f>ROUND(AP18*1.04,-3)</f>
        <v>74000</v>
      </c>
      <c r="AR18" s="170">
        <f t="shared" si="12"/>
        <v>77000</v>
      </c>
      <c r="AS18" s="170">
        <f t="shared" si="12"/>
        <v>80000</v>
      </c>
      <c r="AT18" s="170">
        <f t="shared" si="12"/>
        <v>83000</v>
      </c>
    </row>
    <row r="19" spans="2:46" ht="310.5" customHeight="1" x14ac:dyDescent="0.25">
      <c r="B19" s="184" t="s">
        <v>426</v>
      </c>
      <c r="C19" s="174" t="s">
        <v>1030</v>
      </c>
      <c r="D19" s="64" t="s">
        <v>1034</v>
      </c>
      <c r="E19" s="126"/>
      <c r="F19" s="126"/>
      <c r="G19" s="133"/>
      <c r="H19" s="133"/>
      <c r="I19" s="133"/>
      <c r="J19" s="133"/>
      <c r="K19" s="133"/>
      <c r="L19" s="184" t="s">
        <v>427</v>
      </c>
      <c r="M19" s="118" t="s">
        <v>428</v>
      </c>
      <c r="N19" s="218"/>
      <c r="O19" s="218"/>
      <c r="P19" s="165" t="s">
        <v>203</v>
      </c>
      <c r="Q19" s="165" t="s">
        <v>203</v>
      </c>
      <c r="R19" s="165" t="s">
        <v>203</v>
      </c>
      <c r="S19" s="165" t="s">
        <v>203</v>
      </c>
      <c r="T19" s="165" t="s">
        <v>203</v>
      </c>
      <c r="U19" s="134"/>
      <c r="V19" s="134"/>
      <c r="W19" s="134"/>
      <c r="X19" s="134"/>
      <c r="Y19" s="222">
        <f>Y18*0.3</f>
        <v>600</v>
      </c>
      <c r="Z19" s="222">
        <f>ROUND(Z18*0.3*('Strategic level'!Q51+'Strategic level'!Q52)/('Strategic level'!P51+'Strategic level'!P52)*'Strategic level'!Q43/'Strategic level'!P43,-1)</f>
        <v>730</v>
      </c>
      <c r="AA19" s="222">
        <f>ROUND(AA18*0.3*('Strategic level'!R51+'Strategic level'!R52)/('Strategic level'!Q51+'Strategic level'!Q52)*'Strategic level'!R43/'Strategic level'!Q43,-1)</f>
        <v>760</v>
      </c>
      <c r="AB19" s="222">
        <f>ROUND(AB18*0.3*('Strategic level'!S51+'Strategic level'!S52)/('Strategic level'!R51+'Strategic level'!R52)*'Strategic level'!S43/'Strategic level'!R43,-1)</f>
        <v>790</v>
      </c>
      <c r="AC19" s="222">
        <f>ROUND(AC18*0.3*('Strategic level'!T51+'Strategic level'!T52)/('Strategic level'!S51+'Strategic level'!S52)*'Strategic level'!T43/'Strategic level'!S43,-1)</f>
        <v>790</v>
      </c>
      <c r="AD19" s="135"/>
      <c r="AE19" s="135"/>
      <c r="AF19" s="135">
        <f>100*(Variables!H7+Variables!H8+Variables!H9*6)</f>
        <v>440000</v>
      </c>
      <c r="AG19" s="135">
        <f>ROUND(AF19*1.04,-3)</f>
        <v>458000</v>
      </c>
      <c r="AH19" s="135">
        <f>ROUND(AG19*1.04,-3)</f>
        <v>476000</v>
      </c>
      <c r="AI19" s="135">
        <f>ROUND(AH19*1.04,-3)</f>
        <v>495000</v>
      </c>
      <c r="AJ19" s="135">
        <f>ROUND(AI19*1.04,-3)</f>
        <v>515000</v>
      </c>
      <c r="AK19" s="135">
        <f>SUM(AD19:AJ19)</f>
        <v>2384000</v>
      </c>
      <c r="AL19" s="250" t="s">
        <v>719</v>
      </c>
      <c r="AM19" s="205"/>
      <c r="AP19" s="170">
        <f>ROUND(AJ19*1.04,-3)</f>
        <v>536000</v>
      </c>
      <c r="AQ19" s="170">
        <f>ROUND(AP19*1.04,-3)</f>
        <v>557000</v>
      </c>
      <c r="AR19" s="170">
        <f t="shared" si="12"/>
        <v>579000</v>
      </c>
      <c r="AS19" s="170">
        <f t="shared" si="12"/>
        <v>602000</v>
      </c>
      <c r="AT19" s="170">
        <f t="shared" si="12"/>
        <v>626000</v>
      </c>
    </row>
    <row r="20" spans="2:46" ht="214.5" x14ac:dyDescent="0.25">
      <c r="B20" s="184" t="s">
        <v>429</v>
      </c>
      <c r="C20" s="126" t="s">
        <v>1129</v>
      </c>
      <c r="D20" s="64" t="s">
        <v>738</v>
      </c>
      <c r="E20" s="126"/>
      <c r="F20" s="126"/>
      <c r="G20" s="126"/>
      <c r="H20" s="133"/>
      <c r="I20" s="133"/>
      <c r="J20" s="133"/>
      <c r="K20" s="133"/>
      <c r="L20" s="184" t="s">
        <v>430</v>
      </c>
      <c r="M20" s="118" t="s">
        <v>431</v>
      </c>
      <c r="N20" s="218"/>
      <c r="O20" s="218"/>
      <c r="P20" s="165" t="s">
        <v>203</v>
      </c>
      <c r="Q20" s="165" t="s">
        <v>203</v>
      </c>
      <c r="R20" s="165" t="s">
        <v>203</v>
      </c>
      <c r="S20" s="165" t="s">
        <v>203</v>
      </c>
      <c r="T20" s="165" t="s">
        <v>203</v>
      </c>
      <c r="U20" s="134"/>
      <c r="V20" s="134"/>
      <c r="W20" s="134"/>
      <c r="X20" s="134"/>
      <c r="Y20" s="134"/>
      <c r="Z20" s="222">
        <f>10*'StG 1'!Z70</f>
        <v>80</v>
      </c>
      <c r="AA20" s="222">
        <f>10*'StG 1'!AA70</f>
        <v>110</v>
      </c>
      <c r="AB20" s="222">
        <f>10*'StG 1'!AB70</f>
        <v>140</v>
      </c>
      <c r="AC20" s="222">
        <f>10*'StG 1'!AC70</f>
        <v>160</v>
      </c>
      <c r="AD20" s="135"/>
      <c r="AE20" s="135"/>
      <c r="AF20" s="135"/>
      <c r="AG20" s="135">
        <f>ROUND(Z20*Variables!H10*400*1.04^3,-3)</f>
        <v>900000</v>
      </c>
      <c r="AH20" s="135">
        <f>ROUND(AA20*Variables!H10*400*1.04^4,-3)</f>
        <v>1287000</v>
      </c>
      <c r="AI20" s="135">
        <f>ROUND(AB20*Variables!H10*400*1.04^5,-3)</f>
        <v>1703000</v>
      </c>
      <c r="AJ20" s="135">
        <f>ROUND(AC20*Variables!H10*400*1.04^6,-3)</f>
        <v>2025000</v>
      </c>
      <c r="AK20" s="135">
        <f>SUM(AD20:AJ20)</f>
        <v>5915000</v>
      </c>
      <c r="AL20" s="250" t="s">
        <v>710</v>
      </c>
      <c r="AM20" s="205"/>
      <c r="AP20" s="170">
        <f>ROUND(AJ20*1.04,-3)</f>
        <v>2106000</v>
      </c>
      <c r="AQ20" s="170">
        <f>ROUND(AP20*1.04,-3)</f>
        <v>2190000</v>
      </c>
      <c r="AR20" s="170">
        <f t="shared" si="12"/>
        <v>2278000</v>
      </c>
      <c r="AS20" s="170">
        <f t="shared" si="12"/>
        <v>2369000</v>
      </c>
      <c r="AT20" s="170">
        <f t="shared" si="12"/>
        <v>2464000</v>
      </c>
    </row>
    <row r="21" spans="2:46" ht="115.5" x14ac:dyDescent="0.25">
      <c r="B21" s="187" t="s">
        <v>432</v>
      </c>
      <c r="C21" s="90" t="s">
        <v>433</v>
      </c>
      <c r="D21" s="190"/>
      <c r="E21" s="115"/>
      <c r="F21" s="115"/>
      <c r="G21" s="115"/>
      <c r="H21" s="115"/>
      <c r="I21" s="115"/>
      <c r="J21" s="115"/>
      <c r="K21" s="115"/>
      <c r="L21" s="114" t="s">
        <v>434</v>
      </c>
      <c r="M21" s="115" t="s">
        <v>435</v>
      </c>
      <c r="N21" s="232"/>
      <c r="O21" s="232"/>
      <c r="P21" s="140"/>
      <c r="Q21" s="140"/>
      <c r="R21" s="140"/>
      <c r="S21" s="140"/>
      <c r="T21" s="140"/>
      <c r="U21" s="127"/>
      <c r="V21" s="127"/>
      <c r="W21" s="127"/>
      <c r="X21" s="418" t="s">
        <v>928</v>
      </c>
      <c r="Y21" s="419"/>
      <c r="Z21" s="419"/>
      <c r="AA21" s="419"/>
      <c r="AB21" s="419"/>
      <c r="AC21" s="420"/>
      <c r="AD21" s="132">
        <f>AD22+AD24</f>
        <v>20000</v>
      </c>
      <c r="AE21" s="132">
        <f t="shared" ref="AE21:AK21" si="14">AE22+AE24</f>
        <v>119000</v>
      </c>
      <c r="AF21" s="132">
        <f t="shared" si="14"/>
        <v>158000</v>
      </c>
      <c r="AG21" s="132">
        <f t="shared" si="14"/>
        <v>222000</v>
      </c>
      <c r="AH21" s="132">
        <f t="shared" si="14"/>
        <v>270000</v>
      </c>
      <c r="AI21" s="132">
        <f t="shared" si="14"/>
        <v>322000</v>
      </c>
      <c r="AJ21" s="132">
        <f t="shared" si="14"/>
        <v>380000</v>
      </c>
      <c r="AK21" s="132">
        <f t="shared" si="14"/>
        <v>1491000</v>
      </c>
      <c r="AL21" s="251"/>
      <c r="AM21" s="205"/>
    </row>
    <row r="22" spans="2:46" ht="49.5" x14ac:dyDescent="0.25">
      <c r="B22" s="359" t="s">
        <v>436</v>
      </c>
      <c r="C22" s="403" t="s">
        <v>437</v>
      </c>
      <c r="D22" s="303" t="s">
        <v>736</v>
      </c>
      <c r="E22" s="306"/>
      <c r="F22" s="306"/>
      <c r="G22" s="306"/>
      <c r="H22" s="306"/>
      <c r="I22" s="306"/>
      <c r="J22" s="306"/>
      <c r="K22" s="306"/>
      <c r="L22" s="184" t="s">
        <v>438</v>
      </c>
      <c r="M22" s="118" t="s">
        <v>439</v>
      </c>
      <c r="N22" s="218"/>
      <c r="O22" s="218"/>
      <c r="P22" s="165" t="s">
        <v>203</v>
      </c>
      <c r="Q22" s="165" t="s">
        <v>203</v>
      </c>
      <c r="R22" s="165" t="s">
        <v>203</v>
      </c>
      <c r="S22" s="165" t="s">
        <v>203</v>
      </c>
      <c r="T22" s="165" t="s">
        <v>203</v>
      </c>
      <c r="U22" s="134"/>
      <c r="V22" s="134"/>
      <c r="W22" s="222">
        <v>20</v>
      </c>
      <c r="X22" s="222">
        <v>20</v>
      </c>
      <c r="Y22" s="222">
        <v>60</v>
      </c>
      <c r="Z22" s="222">
        <v>80</v>
      </c>
      <c r="AA22" s="222">
        <v>100</v>
      </c>
      <c r="AB22" s="222">
        <v>120</v>
      </c>
      <c r="AC22" s="222">
        <v>140</v>
      </c>
      <c r="AD22" s="406">
        <f>Variables!$H$11*W23</f>
        <v>20000</v>
      </c>
      <c r="AE22" s="406">
        <f>Variables!$H$11*X23</f>
        <v>20000</v>
      </c>
      <c r="AF22" s="406">
        <f>Variables!$H$11*Y23</f>
        <v>40000</v>
      </c>
      <c r="AG22" s="406">
        <f>Variables!$H$11*Z23</f>
        <v>80000</v>
      </c>
      <c r="AH22" s="406">
        <f>Variables!$H$11*AA23</f>
        <v>100000</v>
      </c>
      <c r="AI22" s="406">
        <f>Variables!$H$11*AB23</f>
        <v>120000</v>
      </c>
      <c r="AJ22" s="406">
        <f>Variables!$H$11*AC23</f>
        <v>140000</v>
      </c>
      <c r="AK22" s="406">
        <f>SUM(AD22:AJ23)</f>
        <v>520000</v>
      </c>
      <c r="AL22" s="380" t="s">
        <v>712</v>
      </c>
      <c r="AM22" s="205"/>
      <c r="AP22" s="170">
        <f>ROUND(AJ22*1.04,-3)</f>
        <v>146000</v>
      </c>
      <c r="AQ22" s="170">
        <f>ROUND(AP22*1.04,-3)</f>
        <v>152000</v>
      </c>
      <c r="AR22" s="170">
        <f t="shared" si="12"/>
        <v>158000</v>
      </c>
      <c r="AS22" s="170">
        <f t="shared" si="12"/>
        <v>164000</v>
      </c>
      <c r="AT22" s="170">
        <f t="shared" si="12"/>
        <v>171000</v>
      </c>
    </row>
    <row r="23" spans="2:46" ht="78" customHeight="1" x14ac:dyDescent="0.25">
      <c r="B23" s="359"/>
      <c r="C23" s="403"/>
      <c r="D23" s="305"/>
      <c r="E23" s="308"/>
      <c r="F23" s="308"/>
      <c r="G23" s="308"/>
      <c r="H23" s="308"/>
      <c r="I23" s="308"/>
      <c r="J23" s="308"/>
      <c r="K23" s="308"/>
      <c r="L23" s="184" t="s">
        <v>440</v>
      </c>
      <c r="M23" s="118" t="s">
        <v>1130</v>
      </c>
      <c r="N23" s="218"/>
      <c r="O23" s="218"/>
      <c r="P23" s="165" t="s">
        <v>203</v>
      </c>
      <c r="Q23" s="165" t="s">
        <v>203</v>
      </c>
      <c r="R23" s="165" t="s">
        <v>203</v>
      </c>
      <c r="S23" s="165" t="s">
        <v>203</v>
      </c>
      <c r="T23" s="165" t="s">
        <v>203</v>
      </c>
      <c r="U23" s="134"/>
      <c r="V23" s="134"/>
      <c r="W23" s="222">
        <v>1</v>
      </c>
      <c r="X23" s="222">
        <v>1</v>
      </c>
      <c r="Y23" s="222">
        <v>2</v>
      </c>
      <c r="Z23" s="222">
        <v>4</v>
      </c>
      <c r="AA23" s="222">
        <v>5</v>
      </c>
      <c r="AB23" s="222">
        <v>6</v>
      </c>
      <c r="AC23" s="222">
        <v>7</v>
      </c>
      <c r="AD23" s="408"/>
      <c r="AE23" s="408"/>
      <c r="AF23" s="408"/>
      <c r="AG23" s="408"/>
      <c r="AH23" s="408"/>
      <c r="AI23" s="408"/>
      <c r="AJ23" s="408"/>
      <c r="AK23" s="408"/>
      <c r="AL23" s="382"/>
      <c r="AM23" s="205"/>
    </row>
    <row r="24" spans="2:46" ht="409.5" x14ac:dyDescent="0.25">
      <c r="B24" s="184" t="s">
        <v>441</v>
      </c>
      <c r="C24" s="174" t="s">
        <v>1131</v>
      </c>
      <c r="D24" s="64" t="s">
        <v>736</v>
      </c>
      <c r="E24" s="126"/>
      <c r="F24" s="133"/>
      <c r="G24" s="133"/>
      <c r="H24" s="133"/>
      <c r="I24" s="133"/>
      <c r="J24" s="133"/>
      <c r="K24" s="133"/>
      <c r="L24" s="184" t="s">
        <v>442</v>
      </c>
      <c r="M24" s="118" t="s">
        <v>1132</v>
      </c>
      <c r="N24" s="218"/>
      <c r="O24" s="218"/>
      <c r="P24" s="165" t="s">
        <v>203</v>
      </c>
      <c r="Q24" s="165" t="s">
        <v>203</v>
      </c>
      <c r="R24" s="165" t="s">
        <v>203</v>
      </c>
      <c r="S24" s="165" t="s">
        <v>203</v>
      </c>
      <c r="T24" s="165" t="s">
        <v>203</v>
      </c>
      <c r="U24" s="134"/>
      <c r="V24" s="134"/>
      <c r="W24" s="134"/>
      <c r="X24" s="135">
        <f>ROUND(0.3*('Strategic level'!P51-'Strategic level'!O51+'Strategic level'!P52-'Strategic level'!O52)*1000,-2)</f>
        <v>1900</v>
      </c>
      <c r="Y24" s="135">
        <f>ROUND(X24*('Strategic level'!Q51+'Strategic level'!Q52)/('Strategic level'!P51+'Strategic level'!P52)*'Strategic level'!Q43/'Strategic level'!P43,-1)</f>
        <v>2190</v>
      </c>
      <c r="Z24" s="135">
        <f>ROUND(Y24*('Strategic level'!R51+'Strategic level'!R52)/('Strategic level'!Q51+'Strategic level'!Q52)*'Strategic level'!R43/'Strategic level'!Q43,-1)</f>
        <v>2520</v>
      </c>
      <c r="AA24" s="135">
        <f>ROUND(Z24*('Strategic level'!S51+'Strategic level'!S52)/('Strategic level'!R51+'Strategic level'!R52)*'Strategic level'!S43/'Strategic level'!R43,-1)</f>
        <v>2900</v>
      </c>
      <c r="AB24" s="135">
        <f>ROUND(AA24*('Strategic level'!T51+'Strategic level'!T52)/('Strategic level'!S51+'Strategic level'!S52)*'Strategic level'!T43/'Strategic level'!S43,-1)</f>
        <v>3320</v>
      </c>
      <c r="AC24" s="135">
        <f>ROUND(AB24*('Strategic level'!U51+'Strategic level'!U52)/('Strategic level'!T51+'Strategic level'!T52)*'Strategic level'!U43/'Strategic level'!T43,-1)</f>
        <v>3800</v>
      </c>
      <c r="AD24" s="135"/>
      <c r="AE24" s="135">
        <f>ROUND(Variables!H12*1.04^1*X24,-3)</f>
        <v>99000</v>
      </c>
      <c r="AF24" s="135">
        <f>ROUND(Variables!H12*1.04^2*Y24,-3)</f>
        <v>118000</v>
      </c>
      <c r="AG24" s="135">
        <f>ROUND(Variables!H12*1.04^3*Z24,-3)</f>
        <v>142000</v>
      </c>
      <c r="AH24" s="135">
        <f>ROUND(Variables!H12*1.04^4*AA24,-3)</f>
        <v>170000</v>
      </c>
      <c r="AI24" s="135">
        <f>ROUND(Variables!H12*1.04^5*AB24,-3)</f>
        <v>202000</v>
      </c>
      <c r="AJ24" s="135">
        <f>ROUND(Variables!H12*1.04^6*AC24,-3)</f>
        <v>240000</v>
      </c>
      <c r="AK24" s="135">
        <f>SUM(AD24:AJ24)</f>
        <v>971000</v>
      </c>
      <c r="AL24" s="250" t="s">
        <v>1133</v>
      </c>
      <c r="AM24" s="205"/>
      <c r="AP24" s="170">
        <f>ROUND(AJ24*1.04,-3)</f>
        <v>250000</v>
      </c>
      <c r="AQ24" s="170">
        <f>ROUND(AP24*1.04,-3)</f>
        <v>260000</v>
      </c>
      <c r="AR24" s="170">
        <f t="shared" si="12"/>
        <v>270000</v>
      </c>
      <c r="AS24" s="170">
        <f t="shared" si="12"/>
        <v>281000</v>
      </c>
      <c r="AT24" s="170">
        <f t="shared" si="12"/>
        <v>292000</v>
      </c>
    </row>
    <row r="25" spans="2:46" ht="66" x14ac:dyDescent="0.25">
      <c r="B25" s="365" t="s">
        <v>443</v>
      </c>
      <c r="C25" s="401" t="s">
        <v>444</v>
      </c>
      <c r="D25" s="309"/>
      <c r="E25" s="309"/>
      <c r="F25" s="309"/>
      <c r="G25" s="309"/>
      <c r="H25" s="309"/>
      <c r="I25" s="309"/>
      <c r="J25" s="309"/>
      <c r="K25" s="309"/>
      <c r="L25" s="114" t="s">
        <v>445</v>
      </c>
      <c r="M25" s="115" t="s">
        <v>446</v>
      </c>
      <c r="N25" s="115" t="s">
        <v>206</v>
      </c>
      <c r="O25" s="115" t="s">
        <v>447</v>
      </c>
      <c r="P25" s="127">
        <f>P26/P27</f>
        <v>0.45217425385565069</v>
      </c>
      <c r="Q25" s="140"/>
      <c r="R25" s="140"/>
      <c r="S25" s="127">
        <f>S26/S27</f>
        <v>0.43454393961672305</v>
      </c>
      <c r="T25" s="127">
        <f>T26/T27</f>
        <v>0.48931311767233443</v>
      </c>
      <c r="U25" s="252">
        <v>0.44001360900513781</v>
      </c>
      <c r="V25" s="252">
        <f>+(U25+W25)/2</f>
        <v>0.41843577824843847</v>
      </c>
      <c r="W25" s="252">
        <v>0.39685794749173919</v>
      </c>
      <c r="X25" s="252">
        <v>0.39313908225992661</v>
      </c>
      <c r="Y25" s="252">
        <v>0.38372202655687282</v>
      </c>
      <c r="Z25" s="252">
        <v>0.37646921858115573</v>
      </c>
      <c r="AA25" s="252">
        <v>0.39974585155521813</v>
      </c>
      <c r="AB25" s="252">
        <v>0.41661748118918529</v>
      </c>
      <c r="AC25" s="252">
        <v>0.43318970153039893</v>
      </c>
      <c r="AD25" s="415">
        <f t="shared" ref="AD25:AK25" si="15">AD28+AD29+AD30+AD31+AD32+AD33</f>
        <v>18000</v>
      </c>
      <c r="AE25" s="415">
        <f t="shared" si="15"/>
        <v>7259000</v>
      </c>
      <c r="AF25" s="415">
        <f t="shared" si="15"/>
        <v>9245000</v>
      </c>
      <c r="AG25" s="415">
        <f t="shared" si="15"/>
        <v>16439000</v>
      </c>
      <c r="AH25" s="415">
        <f t="shared" si="15"/>
        <v>24826000</v>
      </c>
      <c r="AI25" s="415">
        <f t="shared" si="15"/>
        <v>33389000</v>
      </c>
      <c r="AJ25" s="415">
        <f t="shared" si="15"/>
        <v>44138000</v>
      </c>
      <c r="AK25" s="415">
        <f t="shared" si="15"/>
        <v>135314000</v>
      </c>
      <c r="AL25" s="421"/>
      <c r="AM25" s="205"/>
    </row>
    <row r="26" spans="2:46" ht="33" x14ac:dyDescent="0.25">
      <c r="B26" s="365"/>
      <c r="C26" s="401"/>
      <c r="D26" s="310"/>
      <c r="E26" s="310"/>
      <c r="F26" s="310"/>
      <c r="G26" s="310"/>
      <c r="H26" s="310"/>
      <c r="I26" s="310"/>
      <c r="J26" s="310"/>
      <c r="K26" s="310"/>
      <c r="L26" s="184"/>
      <c r="M26" s="126" t="s">
        <v>448</v>
      </c>
      <c r="N26" s="234" t="s">
        <v>206</v>
      </c>
      <c r="O26" s="126"/>
      <c r="P26" s="241">
        <v>46148</v>
      </c>
      <c r="Q26" s="241"/>
      <c r="R26" s="241"/>
      <c r="S26" s="241">
        <v>35464</v>
      </c>
      <c r="T26" s="241">
        <v>39857</v>
      </c>
      <c r="U26" s="253">
        <v>37317.566484895127</v>
      </c>
      <c r="V26" s="253">
        <f>+(U26+W26)/2</f>
        <v>36128.747970783465</v>
      </c>
      <c r="W26" s="253">
        <v>34939.929456671802</v>
      </c>
      <c r="X26" s="254">
        <v>35813.42769308859</v>
      </c>
      <c r="Y26" s="254">
        <v>36423.420628186323</v>
      </c>
      <c r="Z26" s="254">
        <v>37190.966799723617</v>
      </c>
      <c r="AA26" s="254">
        <v>40571.986433113118</v>
      </c>
      <c r="AB26" s="254">
        <v>43831.625082158876</v>
      </c>
      <c r="AC26" s="254">
        <v>46902.45052480483</v>
      </c>
      <c r="AD26" s="416"/>
      <c r="AE26" s="416"/>
      <c r="AF26" s="416"/>
      <c r="AG26" s="416"/>
      <c r="AH26" s="416"/>
      <c r="AI26" s="416"/>
      <c r="AJ26" s="416"/>
      <c r="AK26" s="416"/>
      <c r="AL26" s="422"/>
      <c r="AM26" s="205"/>
    </row>
    <row r="27" spans="2:46" ht="33" x14ac:dyDescent="0.25">
      <c r="B27" s="365"/>
      <c r="C27" s="401"/>
      <c r="D27" s="311"/>
      <c r="E27" s="311"/>
      <c r="F27" s="311"/>
      <c r="G27" s="311"/>
      <c r="H27" s="311"/>
      <c r="I27" s="311"/>
      <c r="J27" s="311"/>
      <c r="K27" s="311"/>
      <c r="L27" s="184"/>
      <c r="M27" s="126" t="s">
        <v>449</v>
      </c>
      <c r="N27" s="234" t="s">
        <v>206</v>
      </c>
      <c r="O27" s="126"/>
      <c r="P27" s="241">
        <v>102058</v>
      </c>
      <c r="Q27" s="241"/>
      <c r="R27" s="241"/>
      <c r="S27" s="241">
        <v>81612</v>
      </c>
      <c r="T27" s="241">
        <v>81455</v>
      </c>
      <c r="U27" s="241">
        <v>84810.027965429108</v>
      </c>
      <c r="V27" s="253">
        <f>+(U27+W27)/2</f>
        <v>86425.714182247655</v>
      </c>
      <c r="W27" s="241">
        <v>88041.400399066202</v>
      </c>
      <c r="X27" s="241">
        <v>91096.0759414153</v>
      </c>
      <c r="Y27" s="241">
        <v>94921.370438420417</v>
      </c>
      <c r="Z27" s="241">
        <v>98788.86496986296</v>
      </c>
      <c r="AA27" s="241">
        <v>101494.45272606859</v>
      </c>
      <c r="AB27" s="241">
        <v>105208.31952861577</v>
      </c>
      <c r="AC27" s="241">
        <v>108272.31201273945</v>
      </c>
      <c r="AD27" s="417"/>
      <c r="AE27" s="417"/>
      <c r="AF27" s="417"/>
      <c r="AG27" s="417"/>
      <c r="AH27" s="417"/>
      <c r="AI27" s="417"/>
      <c r="AJ27" s="417"/>
      <c r="AK27" s="417"/>
      <c r="AL27" s="423"/>
      <c r="AM27" s="205"/>
    </row>
    <row r="28" spans="2:46" ht="247.5" x14ac:dyDescent="0.25">
      <c r="B28" s="184" t="s">
        <v>450</v>
      </c>
      <c r="C28" s="126" t="s">
        <v>1134</v>
      </c>
      <c r="D28" s="64" t="s">
        <v>742</v>
      </c>
      <c r="E28" s="126"/>
      <c r="F28" s="133"/>
      <c r="G28" s="133"/>
      <c r="H28" s="133"/>
      <c r="I28" s="133"/>
      <c r="J28" s="133"/>
      <c r="K28" s="133"/>
      <c r="L28" s="184" t="s">
        <v>451</v>
      </c>
      <c r="M28" s="118" t="s">
        <v>452</v>
      </c>
      <c r="N28" s="218"/>
      <c r="O28" s="218"/>
      <c r="P28" s="165" t="s">
        <v>203</v>
      </c>
      <c r="Q28" s="165" t="s">
        <v>203</v>
      </c>
      <c r="R28" s="165" t="s">
        <v>203</v>
      </c>
      <c r="S28" s="165" t="s">
        <v>203</v>
      </c>
      <c r="T28" s="165" t="s">
        <v>203</v>
      </c>
      <c r="U28" s="135"/>
      <c r="V28" s="135"/>
      <c r="W28" s="135"/>
      <c r="X28" s="255">
        <f>ROUND(ROUND(25000*'Strategic level'!O47/'Strategic level'!M47,-2)*'Strategic level'!P47/'Strategic level'!O47,-2)</f>
        <v>24600</v>
      </c>
      <c r="Y28" s="255">
        <f>ROUND(X28*'Strategic level'!Q47/'Strategic level'!P47,-2)</f>
        <v>24700</v>
      </c>
      <c r="Z28" s="255">
        <f>ROUND(Y28*'Strategic level'!R47/'Strategic level'!Q47,-2)</f>
        <v>25000</v>
      </c>
      <c r="AA28" s="255">
        <f>ROUND(Z28*'Strategic level'!S47/'Strategic level'!R47,-2)</f>
        <v>25600</v>
      </c>
      <c r="AB28" s="255">
        <f>ROUND(AA28*'Strategic level'!T47/'Strategic level'!S47,-2)</f>
        <v>26500</v>
      </c>
      <c r="AC28" s="255">
        <f>ROUND(AB28*'Strategic level'!U47/'Strategic level'!T47,-2)</f>
        <v>27300</v>
      </c>
      <c r="AD28" s="135"/>
      <c r="AE28" s="135">
        <f>ROUND(X28*Variables!H13*1.04^1,-3)</f>
        <v>1279000</v>
      </c>
      <c r="AF28" s="135">
        <f>ROUND(Y28*Variables!H13*1.04^2,-3)</f>
        <v>1336000</v>
      </c>
      <c r="AG28" s="135">
        <f>ROUND(Z28*Variables!H13*1.04^3,-3)</f>
        <v>1406000</v>
      </c>
      <c r="AH28" s="135">
        <f>ROUND(AA28*Variables!H13*1.04^4,-3)</f>
        <v>1497000</v>
      </c>
      <c r="AI28" s="135">
        <f>ROUND(AB28*Variables!H13*1.04^5,-3)</f>
        <v>1612000</v>
      </c>
      <c r="AJ28" s="135">
        <f>ROUND(AC28*Variables!H13*1.04^6,-3)</f>
        <v>1727000</v>
      </c>
      <c r="AK28" s="135">
        <f>SUM(AD28:AJ28)</f>
        <v>8857000</v>
      </c>
      <c r="AL28" s="130" t="s">
        <v>1135</v>
      </c>
      <c r="AM28" s="205"/>
      <c r="AP28" s="170">
        <f>ROUND(AJ28*1.04,-3)</f>
        <v>1796000</v>
      </c>
      <c r="AQ28" s="170">
        <f>ROUND(AP28*1.04,-3)</f>
        <v>1868000</v>
      </c>
      <c r="AR28" s="170">
        <f t="shared" ref="AR28:AT29" si="16">ROUND(AQ28*1.04,-3)</f>
        <v>1943000</v>
      </c>
      <c r="AS28" s="170">
        <f t="shared" si="16"/>
        <v>2021000</v>
      </c>
      <c r="AT28" s="170">
        <f t="shared" si="16"/>
        <v>2102000</v>
      </c>
    </row>
    <row r="29" spans="2:46" ht="148.5" x14ac:dyDescent="0.25">
      <c r="B29" s="184" t="s">
        <v>453</v>
      </c>
      <c r="C29" s="126" t="s">
        <v>1136</v>
      </c>
      <c r="D29" s="64" t="s">
        <v>736</v>
      </c>
      <c r="E29" s="126"/>
      <c r="F29" s="133"/>
      <c r="G29" s="133"/>
      <c r="H29" s="133"/>
      <c r="I29" s="133"/>
      <c r="J29" s="133"/>
      <c r="K29" s="133"/>
      <c r="L29" s="184" t="s">
        <v>454</v>
      </c>
      <c r="M29" s="118" t="s">
        <v>452</v>
      </c>
      <c r="N29" s="218"/>
      <c r="O29" s="218"/>
      <c r="P29" s="165" t="s">
        <v>203</v>
      </c>
      <c r="Q29" s="165" t="s">
        <v>203</v>
      </c>
      <c r="R29" s="165" t="s">
        <v>203</v>
      </c>
      <c r="S29" s="165" t="s">
        <v>203</v>
      </c>
      <c r="T29" s="165" t="s">
        <v>203</v>
      </c>
      <c r="U29" s="134"/>
      <c r="V29" s="134"/>
      <c r="W29" s="134"/>
      <c r="X29" s="135">
        <f>X28*0.05</f>
        <v>1230</v>
      </c>
      <c r="Y29" s="135">
        <f>Y28*0.1</f>
        <v>2470</v>
      </c>
      <c r="Z29" s="135">
        <f>Z28*0.1</f>
        <v>2500</v>
      </c>
      <c r="AA29" s="135">
        <f>AA28*0.2</f>
        <v>5120</v>
      </c>
      <c r="AB29" s="135">
        <f>AB28*0.2</f>
        <v>5300</v>
      </c>
      <c r="AC29" s="135">
        <f>AC28*0.3</f>
        <v>8190</v>
      </c>
      <c r="AD29" s="135"/>
      <c r="AE29" s="135">
        <f>ROUND(X29*Variables!H14*5*1.04^1,-3)</f>
        <v>384000</v>
      </c>
      <c r="AF29" s="135">
        <f>ROUND(Y29*Variables!H14*5*1.04^2,-3)</f>
        <v>801000</v>
      </c>
      <c r="AG29" s="135">
        <f>ROUND(Z29*Variables!H14*5*1.04^3,-3)</f>
        <v>844000</v>
      </c>
      <c r="AH29" s="135">
        <f>ROUND(AA29*Variables!H14*5*1.04^4,-3)</f>
        <v>1797000</v>
      </c>
      <c r="AI29" s="135">
        <f>ROUND(AB29*Variables!H14*5*1.04^5,-3)</f>
        <v>1934000</v>
      </c>
      <c r="AJ29" s="135">
        <f>ROUND(AC29*Variables!H14*5*1.04^6,-3)</f>
        <v>3109000</v>
      </c>
      <c r="AK29" s="135">
        <f>SUM(AD29:AJ29)</f>
        <v>8869000</v>
      </c>
      <c r="AL29" s="130" t="s">
        <v>713</v>
      </c>
      <c r="AM29" s="205"/>
      <c r="AP29" s="170">
        <f>ROUND(AJ29*1.04,-3)</f>
        <v>3233000</v>
      </c>
      <c r="AQ29" s="170">
        <f>ROUND(AP29*1.04,-3)</f>
        <v>3362000</v>
      </c>
      <c r="AR29" s="170">
        <f t="shared" si="16"/>
        <v>3496000</v>
      </c>
      <c r="AS29" s="170">
        <f t="shared" si="16"/>
        <v>3636000</v>
      </c>
      <c r="AT29" s="170">
        <f t="shared" si="16"/>
        <v>3781000</v>
      </c>
    </row>
    <row r="30" spans="2:46" ht="148.5" x14ac:dyDescent="0.25">
      <c r="B30" s="184" t="s">
        <v>455</v>
      </c>
      <c r="C30" s="126" t="s">
        <v>1137</v>
      </c>
      <c r="D30" s="64" t="s">
        <v>1049</v>
      </c>
      <c r="E30" s="126"/>
      <c r="F30" s="133"/>
      <c r="G30" s="133"/>
      <c r="H30" s="133"/>
      <c r="I30" s="133"/>
      <c r="J30" s="133"/>
      <c r="K30" s="133"/>
      <c r="L30" s="184" t="s">
        <v>456</v>
      </c>
      <c r="M30" s="118" t="s">
        <v>452</v>
      </c>
      <c r="N30" s="218"/>
      <c r="O30" s="218"/>
      <c r="P30" s="165" t="s">
        <v>203</v>
      </c>
      <c r="Q30" s="165" t="s">
        <v>203</v>
      </c>
      <c r="R30" s="165" t="s">
        <v>203</v>
      </c>
      <c r="S30" s="165" t="s">
        <v>203</v>
      </c>
      <c r="T30" s="165" t="s">
        <v>203</v>
      </c>
      <c r="U30" s="134"/>
      <c r="V30" s="134"/>
      <c r="W30" s="134"/>
      <c r="X30" s="135">
        <f>X29*0.3</f>
        <v>369</v>
      </c>
      <c r="Y30" s="135">
        <f t="shared" ref="Y30:AC30" si="17">Y29*0.3</f>
        <v>741</v>
      </c>
      <c r="Z30" s="135">
        <f t="shared" si="17"/>
        <v>750</v>
      </c>
      <c r="AA30" s="135">
        <f t="shared" si="17"/>
        <v>1536</v>
      </c>
      <c r="AB30" s="135">
        <f t="shared" si="17"/>
        <v>1590</v>
      </c>
      <c r="AC30" s="135">
        <f t="shared" si="17"/>
        <v>2457</v>
      </c>
      <c r="AD30" s="135"/>
      <c r="AE30" s="135">
        <f>+Variables!H15</f>
        <v>50000</v>
      </c>
      <c r="AF30" s="135">
        <v>0</v>
      </c>
      <c r="AG30" s="135">
        <v>0</v>
      </c>
      <c r="AH30" s="135">
        <v>0</v>
      </c>
      <c r="AI30" s="135">
        <v>0</v>
      </c>
      <c r="AJ30" s="135">
        <v>0</v>
      </c>
      <c r="AK30" s="135">
        <f>SUM(AD30:AJ30)</f>
        <v>50000</v>
      </c>
      <c r="AL30" s="130" t="s">
        <v>720</v>
      </c>
      <c r="AM30" s="205"/>
    </row>
    <row r="31" spans="2:46" ht="247.5" x14ac:dyDescent="0.25">
      <c r="B31" s="184" t="s">
        <v>457</v>
      </c>
      <c r="C31" s="185" t="s">
        <v>1139</v>
      </c>
      <c r="D31" s="64" t="s">
        <v>736</v>
      </c>
      <c r="E31" s="196"/>
      <c r="F31" s="133"/>
      <c r="G31" s="133"/>
      <c r="H31" s="133"/>
      <c r="I31" s="133"/>
      <c r="J31" s="133"/>
      <c r="K31" s="133"/>
      <c r="L31" s="117" t="s">
        <v>458</v>
      </c>
      <c r="M31" s="118" t="s">
        <v>1140</v>
      </c>
      <c r="N31" s="218" t="s">
        <v>459</v>
      </c>
      <c r="O31" s="118" t="s">
        <v>1141</v>
      </c>
      <c r="P31" s="134">
        <v>0.30973451327433627</v>
      </c>
      <c r="Q31" s="134">
        <v>0.34415584415584416</v>
      </c>
      <c r="R31" s="134">
        <v>0.30714285714285716</v>
      </c>
      <c r="S31" s="134">
        <v>0.34909090909090912</v>
      </c>
      <c r="T31" s="134">
        <v>0.50632911392405067</v>
      </c>
      <c r="U31" s="134"/>
      <c r="V31" s="134"/>
      <c r="W31" s="134"/>
      <c r="X31" s="134">
        <f>T31*(1+_xlfn.RRI(4,$P$31,$T$31)*'Strategic level'!P5/'Strategic level'!O5)</f>
        <v>0.57417890994386589</v>
      </c>
      <c r="Y31" s="134">
        <f>X31*(1+_xlfn.RRI(4,$P$31,$T$31)*'Strategic level'!Q5/'Strategic level'!P5)</f>
        <v>0.65149613205396673</v>
      </c>
      <c r="Z31" s="134">
        <f>Y31*(1+_xlfn.RRI(4,$P$31,$T$31)*'Strategic level'!R5/'Strategic level'!Q5)</f>
        <v>0.73922466104297591</v>
      </c>
      <c r="AA31" s="134">
        <f>Z31*'Strategic level'!S5/'Strategic level'!R5</f>
        <v>0.76140140087426522</v>
      </c>
      <c r="AB31" s="134">
        <f>AA31*'Strategic level'!T5/'Strategic level'!S5</f>
        <v>0.78424344290049319</v>
      </c>
      <c r="AC31" s="134">
        <f>AB31*'Strategic level'!U5/'Strategic level'!T5</f>
        <v>0.80777074618750799</v>
      </c>
      <c r="AD31" s="256"/>
      <c r="AE31" s="256">
        <f>ROUND(X31*X28*'Strategic level'!P43/1000*12*0.1,-3)</f>
        <v>5528000</v>
      </c>
      <c r="AF31" s="256">
        <f>ROUND(Y31*Y28*'Strategic level'!Q43/1000*12*0.1,-3)</f>
        <v>7053000</v>
      </c>
      <c r="AG31" s="256">
        <f>ROUND(Z31*Z28*'Strategic level'!R43/1000*12*0.1,-3)</f>
        <v>9072000</v>
      </c>
      <c r="AH31" s="256">
        <f>ROUND(AA31*AA28*'Strategic level'!S43/1000*12*0.1,-3)</f>
        <v>10717000</v>
      </c>
      <c r="AI31" s="256">
        <f>ROUND(AB31*AB28*'Strategic level'!T43/1000*12*0.1,-3)</f>
        <v>12798000</v>
      </c>
      <c r="AJ31" s="256">
        <f>ROUND(AC31*AC28*'Strategic level'!U43/1000*12*0.1,-3)</f>
        <v>15209000</v>
      </c>
      <c r="AK31" s="256">
        <f>SUM(AD31:AJ31)</f>
        <v>60377000</v>
      </c>
      <c r="AL31" s="257" t="s">
        <v>1138</v>
      </c>
      <c r="AM31" s="205"/>
    </row>
    <row r="32" spans="2:46" ht="247.5" x14ac:dyDescent="0.25">
      <c r="B32" s="184" t="s">
        <v>460</v>
      </c>
      <c r="C32" s="126" t="s">
        <v>1142</v>
      </c>
      <c r="D32" s="64" t="s">
        <v>736</v>
      </c>
      <c r="E32" s="133"/>
      <c r="F32" s="133"/>
      <c r="G32" s="133"/>
      <c r="H32" s="133"/>
      <c r="I32" s="133"/>
      <c r="J32" s="133"/>
      <c r="K32" s="133"/>
      <c r="L32" s="184" t="s">
        <v>461</v>
      </c>
      <c r="M32" s="118" t="s">
        <v>452</v>
      </c>
      <c r="N32" s="218"/>
      <c r="O32" s="218"/>
      <c r="P32" s="165" t="s">
        <v>203</v>
      </c>
      <c r="Q32" s="165" t="s">
        <v>203</v>
      </c>
      <c r="R32" s="165" t="s">
        <v>203</v>
      </c>
      <c r="S32" s="165" t="s">
        <v>203</v>
      </c>
      <c r="T32" s="165" t="s">
        <v>203</v>
      </c>
      <c r="U32" s="134"/>
      <c r="V32" s="134"/>
      <c r="W32" s="135">
        <v>50</v>
      </c>
      <c r="X32" s="135">
        <v>50</v>
      </c>
      <c r="Y32" s="135">
        <f>ROUND(X32*Y29/X29,-2)</f>
        <v>100</v>
      </c>
      <c r="Z32" s="135">
        <f t="shared" ref="Z32:AC32" si="18">ROUND(Y32*Z29/Y29,-2)</f>
        <v>100</v>
      </c>
      <c r="AA32" s="135">
        <f t="shared" si="18"/>
        <v>200</v>
      </c>
      <c r="AB32" s="135">
        <f t="shared" si="18"/>
        <v>200</v>
      </c>
      <c r="AC32" s="135">
        <f t="shared" si="18"/>
        <v>300</v>
      </c>
      <c r="AD32" s="135">
        <f>ROUND(ROUND(W32*0.05,0)*Variables!H16+Variables!H17*W32,-3)</f>
        <v>18000</v>
      </c>
      <c r="AE32" s="135">
        <f>ROUND(ROUND(X32*0.05,0)*Variables!H16+Variables!H17*X32,-3)</f>
        <v>18000</v>
      </c>
      <c r="AF32" s="135">
        <f>ROUND(Y32*0.1,0)*Variables!H16+Variables!H17*Y32</f>
        <v>55000</v>
      </c>
      <c r="AG32" s="135">
        <f>ROUND(Z32*0.1,0)*Variables!H16+Variables!H17*Z32</f>
        <v>55000</v>
      </c>
      <c r="AH32" s="135">
        <f>ROUND(AA32*0.15,0)*Variables!H16+Variables!H17*AA32</f>
        <v>160000</v>
      </c>
      <c r="AI32" s="135">
        <f>ROUND(AB32*0.15,0)*Variables!H16+Variables!H17*AB32</f>
        <v>160000</v>
      </c>
      <c r="AJ32" s="135">
        <f>ROUND(AC32*0.2,0)*Variables!H16+Variables!H17*AC32</f>
        <v>315000</v>
      </c>
      <c r="AK32" s="135">
        <f>SUM(AD32:AJ32)</f>
        <v>781000</v>
      </c>
      <c r="AL32" s="250" t="s">
        <v>1143</v>
      </c>
      <c r="AM32" s="205"/>
      <c r="AP32" s="170">
        <f>ROUND(AJ32*1.04,-3)</f>
        <v>328000</v>
      </c>
      <c r="AQ32" s="170">
        <f>ROUND(AP32*1.04,-3)</f>
        <v>341000</v>
      </c>
      <c r="AR32" s="170">
        <f t="shared" ref="AR32:AT33" si="19">ROUND(AQ32*1.04,-3)</f>
        <v>355000</v>
      </c>
      <c r="AS32" s="170">
        <f t="shared" si="19"/>
        <v>369000</v>
      </c>
      <c r="AT32" s="170">
        <f t="shared" si="19"/>
        <v>384000</v>
      </c>
    </row>
    <row r="33" spans="2:46" ht="66" x14ac:dyDescent="0.25">
      <c r="B33" s="359" t="s">
        <v>462</v>
      </c>
      <c r="C33" s="402" t="s">
        <v>1144</v>
      </c>
      <c r="D33" s="303" t="s">
        <v>738</v>
      </c>
      <c r="E33" s="303"/>
      <c r="F33" s="303"/>
      <c r="G33" s="303"/>
      <c r="H33" s="133"/>
      <c r="I33" s="133"/>
      <c r="J33" s="133"/>
      <c r="K33" s="133"/>
      <c r="L33" s="117" t="s">
        <v>463</v>
      </c>
      <c r="M33" s="118" t="s">
        <v>464</v>
      </c>
      <c r="N33" s="118" t="s">
        <v>206</v>
      </c>
      <c r="O33" s="118" t="s">
        <v>465</v>
      </c>
      <c r="P33" s="134">
        <f>P35/P34</f>
        <v>0.63827519143291911</v>
      </c>
      <c r="Q33" s="165"/>
      <c r="R33" s="165"/>
      <c r="S33" s="134">
        <f>S35/S34</f>
        <v>0.34250119205835505</v>
      </c>
      <c r="T33" s="134">
        <f>T35/T34</f>
        <v>0.34311356965454953</v>
      </c>
      <c r="U33" s="134">
        <f t="shared" ref="U33:AC33" si="20">U35/U34</f>
        <v>0.30389053632314889</v>
      </c>
      <c r="V33" s="134">
        <f>+(U33+W33)/2</f>
        <v>0.29228824901845685</v>
      </c>
      <c r="W33" s="134">
        <f t="shared" si="20"/>
        <v>0.28068596171376481</v>
      </c>
      <c r="X33" s="134">
        <f t="shared" si="20"/>
        <v>0.26062123188661285</v>
      </c>
      <c r="Y33" s="134">
        <f t="shared" si="20"/>
        <v>0.23998942142402058</v>
      </c>
      <c r="Z33" s="134">
        <f t="shared" si="20"/>
        <v>0.3325100489127803</v>
      </c>
      <c r="AA33" s="134">
        <f t="shared" si="20"/>
        <v>0.41600378787878789</v>
      </c>
      <c r="AB33" s="134">
        <f t="shared" si="20"/>
        <v>0.49135169032552306</v>
      </c>
      <c r="AC33" s="134">
        <f t="shared" si="20"/>
        <v>0.56508804019657533</v>
      </c>
      <c r="AD33" s="424"/>
      <c r="AE33" s="424"/>
      <c r="AF33" s="424"/>
      <c r="AG33" s="297">
        <f>ROUND((Z35-$Y$35)*Variables!H18*1.04^3,-3)</f>
        <v>5062000</v>
      </c>
      <c r="AH33" s="297">
        <f>ROUND((AA35-$Y$35)*Variables!H18*1.04^4,-3)</f>
        <v>10655000</v>
      </c>
      <c r="AI33" s="297">
        <f>ROUND((AB35-$Y$35)*Variables!H18*1.04^5,-3)</f>
        <v>16885000</v>
      </c>
      <c r="AJ33" s="297">
        <f>ROUND((AC35-$Y$35)*Variables!H18*1.04^6,-3)</f>
        <v>23778000</v>
      </c>
      <c r="AK33" s="297">
        <f>SUM(AD33:AJ35)</f>
        <v>56380000</v>
      </c>
      <c r="AL33" s="380" t="s">
        <v>1145</v>
      </c>
      <c r="AM33" s="205"/>
      <c r="AP33" s="170">
        <f>ROUND(AJ33*1.04,-3)</f>
        <v>24729000</v>
      </c>
      <c r="AQ33" s="170">
        <f>ROUND(AP33*1.04,-3)</f>
        <v>25718000</v>
      </c>
      <c r="AR33" s="170">
        <f t="shared" si="19"/>
        <v>26747000</v>
      </c>
      <c r="AS33" s="170">
        <f t="shared" si="19"/>
        <v>27817000</v>
      </c>
      <c r="AT33" s="170">
        <f t="shared" si="19"/>
        <v>28930000</v>
      </c>
    </row>
    <row r="34" spans="2:46" ht="33" x14ac:dyDescent="0.25">
      <c r="B34" s="359"/>
      <c r="C34" s="402"/>
      <c r="D34" s="304"/>
      <c r="E34" s="304"/>
      <c r="F34" s="304"/>
      <c r="G34" s="304"/>
      <c r="H34" s="133"/>
      <c r="I34" s="133"/>
      <c r="J34" s="133"/>
      <c r="K34" s="133"/>
      <c r="L34" s="117"/>
      <c r="M34" s="118" t="s">
        <v>466</v>
      </c>
      <c r="N34" s="218" t="s">
        <v>206</v>
      </c>
      <c r="O34" s="118"/>
      <c r="P34" s="233">
        <v>122889</v>
      </c>
      <c r="Q34" s="233"/>
      <c r="R34" s="233"/>
      <c r="S34" s="233">
        <v>98569</v>
      </c>
      <c r="T34" s="233">
        <v>88580</v>
      </c>
      <c r="U34" s="135">
        <v>90039</v>
      </c>
      <c r="V34" s="135">
        <f>+(U34+W34)/2</f>
        <v>88899.5</v>
      </c>
      <c r="W34" s="135">
        <v>87760</v>
      </c>
      <c r="X34" s="135">
        <v>85089</v>
      </c>
      <c r="Y34" s="135">
        <v>83187</v>
      </c>
      <c r="Z34" s="135">
        <v>82596</v>
      </c>
      <c r="AA34" s="135">
        <v>84480</v>
      </c>
      <c r="AB34" s="135">
        <v>87705</v>
      </c>
      <c r="AC34" s="135">
        <v>90754</v>
      </c>
      <c r="AD34" s="425"/>
      <c r="AE34" s="425"/>
      <c r="AF34" s="425"/>
      <c r="AG34" s="298"/>
      <c r="AH34" s="298"/>
      <c r="AI34" s="298"/>
      <c r="AJ34" s="298"/>
      <c r="AK34" s="298"/>
      <c r="AL34" s="381"/>
      <c r="AM34" s="205"/>
    </row>
    <row r="35" spans="2:46" ht="384" customHeight="1" x14ac:dyDescent="0.25">
      <c r="B35" s="359"/>
      <c r="C35" s="402"/>
      <c r="D35" s="305"/>
      <c r="E35" s="305"/>
      <c r="F35" s="305"/>
      <c r="G35" s="305"/>
      <c r="H35" s="133"/>
      <c r="I35" s="133"/>
      <c r="J35" s="133"/>
      <c r="K35" s="133"/>
      <c r="L35" s="117"/>
      <c r="M35" s="118" t="s">
        <v>467</v>
      </c>
      <c r="N35" s="218" t="s">
        <v>206</v>
      </c>
      <c r="O35" s="118"/>
      <c r="P35" s="233">
        <v>78437</v>
      </c>
      <c r="Q35" s="233"/>
      <c r="R35" s="233"/>
      <c r="S35" s="233">
        <v>33760</v>
      </c>
      <c r="T35" s="233">
        <v>30393</v>
      </c>
      <c r="U35" s="135">
        <f>ROUND(T35*T35/S35,0)</f>
        <v>27362</v>
      </c>
      <c r="V35" s="135">
        <f>+(U35+W35)/2</f>
        <v>25997.5</v>
      </c>
      <c r="W35" s="135">
        <f>ROUND(U35*U35/T35,0)</f>
        <v>24633</v>
      </c>
      <c r="X35" s="135">
        <f>ROUND(W35*W35/U35,0)</f>
        <v>22176</v>
      </c>
      <c r="Y35" s="135">
        <f t="shared" ref="Y35" si="21">ROUND(X35*X35/W35,0)</f>
        <v>19964</v>
      </c>
      <c r="Z35" s="135">
        <f>Y35+Z28*0.3</f>
        <v>27464</v>
      </c>
      <c r="AA35" s="135">
        <f t="shared" ref="AA35:AC35" si="22">Z35+AA28*0.3</f>
        <v>35144</v>
      </c>
      <c r="AB35" s="135">
        <f t="shared" si="22"/>
        <v>43094</v>
      </c>
      <c r="AC35" s="135">
        <f t="shared" si="22"/>
        <v>51284</v>
      </c>
      <c r="AD35" s="426"/>
      <c r="AE35" s="426"/>
      <c r="AF35" s="426"/>
      <c r="AG35" s="299"/>
      <c r="AH35" s="299"/>
      <c r="AI35" s="299"/>
      <c r="AJ35" s="299"/>
      <c r="AK35" s="299"/>
      <c r="AL35" s="382"/>
      <c r="AM35" s="205"/>
    </row>
    <row r="36" spans="2:46" ht="99" x14ac:dyDescent="0.25">
      <c r="B36" s="187" t="s">
        <v>468</v>
      </c>
      <c r="C36" s="90" t="s">
        <v>469</v>
      </c>
      <c r="D36" s="190"/>
      <c r="E36" s="115"/>
      <c r="F36" s="115"/>
      <c r="G36" s="115"/>
      <c r="H36" s="115"/>
      <c r="I36" s="115"/>
      <c r="J36" s="115"/>
      <c r="K36" s="115"/>
      <c r="L36" s="114" t="s">
        <v>470</v>
      </c>
      <c r="M36" s="115" t="s">
        <v>1148</v>
      </c>
      <c r="N36" s="115"/>
      <c r="O36" s="115"/>
      <c r="P36" s="140" t="s">
        <v>203</v>
      </c>
      <c r="Q36" s="140" t="s">
        <v>203</v>
      </c>
      <c r="R36" s="140" t="s">
        <v>203</v>
      </c>
      <c r="S36" s="140" t="s">
        <v>203</v>
      </c>
      <c r="T36" s="140" t="s">
        <v>203</v>
      </c>
      <c r="U36" s="127"/>
      <c r="V36" s="127"/>
      <c r="W36" s="127"/>
      <c r="X36" s="127"/>
      <c r="Y36" s="127"/>
      <c r="Z36" s="127"/>
      <c r="AA36" s="127">
        <f>(AA38/Z38)/('Strategic level'!S45/'Strategic level'!T45)</f>
        <v>1.1115961288496452</v>
      </c>
      <c r="AB36" s="127">
        <f>(AB38/AA38)/('Strategic level'!T45/'Strategic level'!U45)</f>
        <v>1.0579267557092227</v>
      </c>
      <c r="AC36" s="127"/>
      <c r="AD36" s="132">
        <f t="shared" ref="AD36:AI36" si="23">AD37</f>
        <v>0</v>
      </c>
      <c r="AE36" s="132">
        <f t="shared" si="23"/>
        <v>40000</v>
      </c>
      <c r="AF36" s="132">
        <f t="shared" si="23"/>
        <v>79000</v>
      </c>
      <c r="AG36" s="132">
        <f t="shared" si="23"/>
        <v>156000</v>
      </c>
      <c r="AH36" s="132">
        <f t="shared" si="23"/>
        <v>187000</v>
      </c>
      <c r="AI36" s="132">
        <f t="shared" si="23"/>
        <v>214000</v>
      </c>
      <c r="AJ36" s="132">
        <f>AJ37</f>
        <v>237000</v>
      </c>
      <c r="AK36" s="132">
        <f>AK37+AK39+AK40</f>
        <v>913000</v>
      </c>
      <c r="AL36" s="251"/>
      <c r="AM36" s="205"/>
    </row>
    <row r="37" spans="2:46" ht="33" x14ac:dyDescent="0.25">
      <c r="B37" s="359" t="s">
        <v>471</v>
      </c>
      <c r="C37" s="402" t="s">
        <v>1146</v>
      </c>
      <c r="D37" s="303" t="s">
        <v>738</v>
      </c>
      <c r="E37" s="303"/>
      <c r="F37" s="303"/>
      <c r="G37" s="303"/>
      <c r="H37" s="306"/>
      <c r="I37" s="306"/>
      <c r="J37" s="306"/>
      <c r="K37" s="306"/>
      <c r="L37" s="184" t="s">
        <v>472</v>
      </c>
      <c r="M37" s="118" t="s">
        <v>1147</v>
      </c>
      <c r="N37" s="218"/>
      <c r="O37" s="218"/>
      <c r="P37" s="165" t="s">
        <v>203</v>
      </c>
      <c r="Q37" s="165" t="s">
        <v>203</v>
      </c>
      <c r="R37" s="165" t="s">
        <v>203</v>
      </c>
      <c r="S37" s="165" t="s">
        <v>203</v>
      </c>
      <c r="T37" s="165" t="s">
        <v>203</v>
      </c>
      <c r="U37" s="134"/>
      <c r="V37" s="134"/>
      <c r="W37" s="134"/>
      <c r="X37" s="135">
        <f>ROUND(1400*1.008*1.00005133*0.99757117*0.994857139*0.05*3,0)</f>
        <v>210</v>
      </c>
      <c r="Y37" s="135">
        <f>ROUND(1400*1.008*1.00005133*0.99757117*0.994857139*0.992090002*0.1*3,0)</f>
        <v>417</v>
      </c>
      <c r="Z37" s="135">
        <f>ROUND(1400*1.008*1.00005133*0.99757117*0.994857139*0.992090002*0.990289422*0.2*3,0)</f>
        <v>826</v>
      </c>
      <c r="AA37" s="135">
        <f>ROUND(1400*1.008*1.00005133*0.99757117*0.994857139*0.992090002*0.990289422*0.980910992*0.25*3,0)</f>
        <v>1012</v>
      </c>
      <c r="AB37" s="135">
        <f>ROUND(1400*1.008*1.00005133*0.99757117*0.994857139*0.992090002*0.990289422*0.980910992*0.975970422*0.3*3,0)</f>
        <v>1186</v>
      </c>
      <c r="AC37" s="135">
        <f>ROUND(1400*1.008*1.00005133*0.99757117*0.994857139*0.992090002*0.990289422*0.980910992*0.975970422*0.974589979*0.35*3,0)</f>
        <v>1348</v>
      </c>
      <c r="AD37" s="406">
        <v>0</v>
      </c>
      <c r="AE37" s="406">
        <f>ROUND(X38*2,-3)</f>
        <v>40000</v>
      </c>
      <c r="AF37" s="406">
        <f t="shared" ref="AF37:AJ37" si="24">ROUND(Y38*2,-3)</f>
        <v>79000</v>
      </c>
      <c r="AG37" s="406">
        <f t="shared" si="24"/>
        <v>156000</v>
      </c>
      <c r="AH37" s="406">
        <f t="shared" si="24"/>
        <v>187000</v>
      </c>
      <c r="AI37" s="406">
        <f t="shared" si="24"/>
        <v>214000</v>
      </c>
      <c r="AJ37" s="406">
        <f t="shared" si="24"/>
        <v>237000</v>
      </c>
      <c r="AK37" s="297">
        <f>SUM(AD37:AJ38)</f>
        <v>913000</v>
      </c>
      <c r="AL37" s="380" t="s">
        <v>1149</v>
      </c>
      <c r="AM37" s="205"/>
      <c r="AP37" s="170">
        <f>ROUND(AJ37*1.04,-3)</f>
        <v>246000</v>
      </c>
      <c r="AQ37" s="170">
        <f>ROUND(AP37*1.04,-3)</f>
        <v>256000</v>
      </c>
      <c r="AR37" s="170">
        <f t="shared" ref="AR37:AT37" si="25">ROUND(AQ37*1.04,-3)</f>
        <v>266000</v>
      </c>
      <c r="AS37" s="170">
        <f t="shared" si="25"/>
        <v>277000</v>
      </c>
      <c r="AT37" s="170">
        <f t="shared" si="25"/>
        <v>288000</v>
      </c>
    </row>
    <row r="38" spans="2:46" ht="409.5" customHeight="1" x14ac:dyDescent="0.25">
      <c r="B38" s="359"/>
      <c r="C38" s="402"/>
      <c r="D38" s="305"/>
      <c r="E38" s="305"/>
      <c r="F38" s="305"/>
      <c r="G38" s="305"/>
      <c r="H38" s="308"/>
      <c r="I38" s="308"/>
      <c r="J38" s="308"/>
      <c r="K38" s="308"/>
      <c r="L38" s="184" t="s">
        <v>473</v>
      </c>
      <c r="M38" s="118" t="s">
        <v>474</v>
      </c>
      <c r="N38" s="218"/>
      <c r="O38" s="218"/>
      <c r="P38" s="165" t="s">
        <v>203</v>
      </c>
      <c r="Q38" s="165" t="s">
        <v>203</v>
      </c>
      <c r="R38" s="165" t="s">
        <v>203</v>
      </c>
      <c r="S38" s="165" t="s">
        <v>203</v>
      </c>
      <c r="T38" s="165" t="s">
        <v>203</v>
      </c>
      <c r="U38" s="134"/>
      <c r="V38" s="134"/>
      <c r="W38" s="134"/>
      <c r="X38" s="135">
        <f>ROUND(288*1.008*1.00005133*0.99757117*0.994857139*0.992090002*0.990289422*X37/3,0)</f>
        <v>19815</v>
      </c>
      <c r="Y38" s="135">
        <f>ROUND(288*1.008*1.00005133*0.99757117*0.994857139*0.992090002*Y37/3,0)</f>
        <v>39732</v>
      </c>
      <c r="Z38" s="135">
        <f>ROUND(288*1.008*1.00005133*0.99757117*0.994857139*0.992090002*0.990289422*Z37/3,0)</f>
        <v>77938</v>
      </c>
      <c r="AA38" s="135">
        <f>ROUND(288*1.008*1.00005133*0.99757117*0.994857139*0.992090002*0.990289422*0.980910992*AA37/3,0)</f>
        <v>93666</v>
      </c>
      <c r="AB38" s="135">
        <f>ROUND(288*1.008*1.00005133*0.99757117*0.994857139*0.992090002*0.990289422*0.980910992*0.975970422*AB37/3,0)</f>
        <v>107133</v>
      </c>
      <c r="AC38" s="135">
        <f>ROUND(288*1.008*1.00005133*0.99757117*0.994857139*0.992090002*0.990289422*0.980910992*0.975970422*0.974589979*AC37/3,0)</f>
        <v>118672</v>
      </c>
      <c r="AD38" s="408"/>
      <c r="AE38" s="408"/>
      <c r="AF38" s="408"/>
      <c r="AG38" s="408"/>
      <c r="AH38" s="408"/>
      <c r="AI38" s="408"/>
      <c r="AJ38" s="408"/>
      <c r="AK38" s="299"/>
      <c r="AL38" s="382"/>
      <c r="AM38" s="205"/>
    </row>
    <row r="39" spans="2:46" ht="49.5" x14ac:dyDescent="0.25">
      <c r="B39" s="184" t="s">
        <v>475</v>
      </c>
      <c r="C39" s="126" t="s">
        <v>1000</v>
      </c>
      <c r="D39" s="273" t="s">
        <v>738</v>
      </c>
      <c r="E39" s="133"/>
      <c r="F39" s="133"/>
      <c r="G39" s="133"/>
      <c r="H39" s="133"/>
      <c r="I39" s="133"/>
      <c r="J39" s="133"/>
      <c r="K39" s="133"/>
      <c r="L39" s="117" t="s">
        <v>476</v>
      </c>
      <c r="M39" s="118" t="s">
        <v>477</v>
      </c>
      <c r="N39" s="218"/>
      <c r="O39" s="218"/>
      <c r="P39" s="165" t="s">
        <v>203</v>
      </c>
      <c r="Q39" s="165" t="s">
        <v>203</v>
      </c>
      <c r="R39" s="165" t="s">
        <v>203</v>
      </c>
      <c r="S39" s="165" t="s">
        <v>203</v>
      </c>
      <c r="T39" s="165" t="s">
        <v>203</v>
      </c>
      <c r="U39" s="409" t="s">
        <v>717</v>
      </c>
      <c r="V39" s="410"/>
      <c r="W39" s="410"/>
      <c r="X39" s="410"/>
      <c r="Y39" s="410"/>
      <c r="Z39" s="410"/>
      <c r="AA39" s="410"/>
      <c r="AB39" s="410"/>
      <c r="AC39" s="410"/>
      <c r="AD39" s="258"/>
      <c r="AE39" s="258"/>
      <c r="AF39" s="258"/>
      <c r="AG39" s="258"/>
      <c r="AH39" s="258"/>
      <c r="AI39" s="258"/>
      <c r="AJ39" s="259"/>
      <c r="AK39" s="135">
        <v>0</v>
      </c>
      <c r="AL39" s="260" t="s">
        <v>390</v>
      </c>
      <c r="AM39" s="205"/>
    </row>
    <row r="40" spans="2:46" ht="126.75" customHeight="1" x14ac:dyDescent="0.25">
      <c r="B40" s="184" t="s">
        <v>478</v>
      </c>
      <c r="C40" s="126" t="s">
        <v>1001</v>
      </c>
      <c r="D40" s="273" t="s">
        <v>738</v>
      </c>
      <c r="E40" s="133"/>
      <c r="F40" s="133"/>
      <c r="G40" s="133"/>
      <c r="H40" s="133"/>
      <c r="I40" s="133"/>
      <c r="J40" s="133"/>
      <c r="K40" s="133"/>
      <c r="L40" s="117" t="s">
        <v>479</v>
      </c>
      <c r="M40" s="118" t="s">
        <v>477</v>
      </c>
      <c r="N40" s="218"/>
      <c r="O40" s="218"/>
      <c r="P40" s="165" t="s">
        <v>203</v>
      </c>
      <c r="Q40" s="165" t="s">
        <v>203</v>
      </c>
      <c r="R40" s="165" t="s">
        <v>203</v>
      </c>
      <c r="S40" s="165" t="s">
        <v>203</v>
      </c>
      <c r="T40" s="165" t="s">
        <v>203</v>
      </c>
      <c r="U40" s="409" t="s">
        <v>717</v>
      </c>
      <c r="V40" s="410"/>
      <c r="W40" s="410"/>
      <c r="X40" s="410"/>
      <c r="Y40" s="410"/>
      <c r="Z40" s="410"/>
      <c r="AA40" s="410"/>
      <c r="AB40" s="410"/>
      <c r="AC40" s="410"/>
      <c r="AD40" s="258"/>
      <c r="AE40" s="258"/>
      <c r="AF40" s="258"/>
      <c r="AG40" s="258"/>
      <c r="AH40" s="258"/>
      <c r="AI40" s="258"/>
      <c r="AJ40" s="259"/>
      <c r="AK40" s="135">
        <v>0</v>
      </c>
      <c r="AL40" s="260" t="s">
        <v>390</v>
      </c>
      <c r="AM40" s="205"/>
    </row>
    <row r="41" spans="2:46" x14ac:dyDescent="0.25">
      <c r="B41" s="128" t="s">
        <v>480</v>
      </c>
      <c r="C41" s="129" t="s">
        <v>481</v>
      </c>
      <c r="D41" s="128"/>
      <c r="E41" s="129"/>
      <c r="F41" s="129"/>
      <c r="G41" s="129"/>
      <c r="H41" s="129"/>
      <c r="I41" s="129"/>
      <c r="J41" s="129"/>
      <c r="K41" s="129"/>
      <c r="L41" s="128"/>
      <c r="M41" s="129"/>
      <c r="N41" s="129"/>
      <c r="O41" s="129"/>
      <c r="P41" s="245"/>
      <c r="Q41" s="245"/>
      <c r="R41" s="245"/>
      <c r="S41" s="245"/>
      <c r="T41" s="245"/>
      <c r="U41" s="245" t="str">
        <f>IF(ISBLANK('Strategic level'!M106)," ",'Strategic level'!M106)</f>
        <v xml:space="preserve"> </v>
      </c>
      <c r="V41" s="245"/>
      <c r="W41" s="245" t="str">
        <f>IF(ISBLANK('Strategic level'!O106)," ",'Strategic level'!O106)</f>
        <v xml:space="preserve"> </v>
      </c>
      <c r="X41" s="245" t="str">
        <f>IF(ISBLANK('Strategic level'!P106)," ",'Strategic level'!P106)</f>
        <v xml:space="preserve"> </v>
      </c>
      <c r="Y41" s="245" t="str">
        <f>IF(ISBLANK('Strategic level'!Q106)," ",'Strategic level'!Q106)</f>
        <v xml:space="preserve"> </v>
      </c>
      <c r="Z41" s="245" t="str">
        <f>IF(ISBLANK('Strategic level'!R106)," ",'Strategic level'!R106)</f>
        <v xml:space="preserve"> </v>
      </c>
      <c r="AA41" s="245" t="str">
        <f>IF(ISBLANK('Strategic level'!S106)," ",'Strategic level'!S106)</f>
        <v xml:space="preserve"> </v>
      </c>
      <c r="AB41" s="245" t="str">
        <f>IF(ISBLANK('Strategic level'!T106)," ",'Strategic level'!T106)</f>
        <v xml:space="preserve"> </v>
      </c>
      <c r="AC41" s="245" t="str">
        <f>IF(ISBLANK('Strategic level'!U106)," ",'Strategic level'!U106)</f>
        <v xml:space="preserve"> </v>
      </c>
      <c r="AD41" s="246">
        <f>AD42+AD48</f>
        <v>15000</v>
      </c>
      <c r="AE41" s="246">
        <f t="shared" ref="AE41:AK41" si="26">AE42+AE48</f>
        <v>2767000</v>
      </c>
      <c r="AF41" s="246">
        <f t="shared" si="26"/>
        <v>4608000</v>
      </c>
      <c r="AG41" s="246">
        <f t="shared" si="26"/>
        <v>6029000</v>
      </c>
      <c r="AH41" s="246">
        <f t="shared" si="26"/>
        <v>7599000</v>
      </c>
      <c r="AI41" s="246">
        <f t="shared" si="26"/>
        <v>9477000</v>
      </c>
      <c r="AJ41" s="246">
        <f t="shared" si="26"/>
        <v>12269000</v>
      </c>
      <c r="AK41" s="246">
        <f t="shared" si="26"/>
        <v>42764000</v>
      </c>
      <c r="AL41" s="247"/>
      <c r="AM41" s="205"/>
    </row>
    <row r="42" spans="2:46" ht="99" x14ac:dyDescent="0.25">
      <c r="B42" s="187" t="s">
        <v>482</v>
      </c>
      <c r="C42" s="90" t="s">
        <v>483</v>
      </c>
      <c r="D42" s="190"/>
      <c r="E42" s="115"/>
      <c r="F42" s="115"/>
      <c r="G42" s="115"/>
      <c r="H42" s="115"/>
      <c r="I42" s="115"/>
      <c r="J42" s="115"/>
      <c r="K42" s="115"/>
      <c r="L42" s="114" t="s">
        <v>484</v>
      </c>
      <c r="M42" s="118" t="s">
        <v>714</v>
      </c>
      <c r="N42" s="218"/>
      <c r="O42" s="218"/>
      <c r="P42" s="165" t="s">
        <v>203</v>
      </c>
      <c r="Q42" s="165" t="s">
        <v>203</v>
      </c>
      <c r="R42" s="165" t="s">
        <v>203</v>
      </c>
      <c r="S42" s="165" t="s">
        <v>203</v>
      </c>
      <c r="T42" s="165" t="s">
        <v>203</v>
      </c>
      <c r="U42" s="127"/>
      <c r="V42" s="127"/>
      <c r="W42" s="127"/>
      <c r="X42" s="137">
        <f>X45/(('Strategic level'!P51+'Strategic level'!P52)*1000)</f>
        <v>1.3238948854739028E-2</v>
      </c>
      <c r="Y42" s="137">
        <f>Y45/(('Strategic level'!Q51+'Strategic level'!Q52)*1000)</f>
        <v>1.5920117754340709E-2</v>
      </c>
      <c r="Z42" s="137">
        <f>Z45/(('Strategic level'!R51+'Strategic level'!R52)*1000)</f>
        <v>2.047506055473786E-2</v>
      </c>
      <c r="AA42" s="137">
        <f>AA45/(('Strategic level'!S51+'Strategic level'!S52)*1000)</f>
        <v>2.4339836782217471E-2</v>
      </c>
      <c r="AB42" s="137">
        <f>AB45/(('Strategic level'!T51+'Strategic level'!T52)*1000)</f>
        <v>2.9483524182004534E-2</v>
      </c>
      <c r="AC42" s="137">
        <f>AC45/(('Strategic level'!U51+'Strategic level'!U52)*1000)</f>
        <v>3.6769627439329378E-2</v>
      </c>
      <c r="AD42" s="132">
        <f>AD43+AD44+AD45+AD46+AD47</f>
        <v>15000</v>
      </c>
      <c r="AE42" s="132">
        <f t="shared" ref="AE42:AK42" si="27">AE43+AE44+AE45+AE46+AE47</f>
        <v>1800000</v>
      </c>
      <c r="AF42" s="132">
        <f t="shared" si="27"/>
        <v>3325000</v>
      </c>
      <c r="AG42" s="132">
        <f t="shared" si="27"/>
        <v>4306000</v>
      </c>
      <c r="AH42" s="132">
        <f t="shared" si="27"/>
        <v>5406000</v>
      </c>
      <c r="AI42" s="132">
        <f t="shared" si="27"/>
        <v>6746000</v>
      </c>
      <c r="AJ42" s="132">
        <f t="shared" si="27"/>
        <v>8747000</v>
      </c>
      <c r="AK42" s="132">
        <f t="shared" si="27"/>
        <v>30345000</v>
      </c>
      <c r="AL42" s="251"/>
      <c r="AM42" s="205"/>
    </row>
    <row r="43" spans="2:46" ht="82.5" x14ac:dyDescent="0.25">
      <c r="B43" s="184" t="s">
        <v>485</v>
      </c>
      <c r="C43" s="126" t="s">
        <v>1150</v>
      </c>
      <c r="D43" s="64" t="s">
        <v>736</v>
      </c>
      <c r="E43" s="133"/>
      <c r="F43" s="133"/>
      <c r="G43" s="133"/>
      <c r="H43" s="133"/>
      <c r="I43" s="133"/>
      <c r="J43" s="133"/>
      <c r="K43" s="133"/>
      <c r="L43" s="184" t="s">
        <v>486</v>
      </c>
      <c r="M43" s="118" t="s">
        <v>487</v>
      </c>
      <c r="N43" s="218"/>
      <c r="O43" s="218"/>
      <c r="P43" s="165" t="s">
        <v>203</v>
      </c>
      <c r="Q43" s="165" t="s">
        <v>203</v>
      </c>
      <c r="R43" s="165" t="s">
        <v>203</v>
      </c>
      <c r="S43" s="165" t="s">
        <v>203</v>
      </c>
      <c r="T43" s="165" t="s">
        <v>203</v>
      </c>
      <c r="U43" s="134"/>
      <c r="V43" s="134"/>
      <c r="W43" s="134" t="s">
        <v>362</v>
      </c>
      <c r="X43" s="134" t="s">
        <v>362</v>
      </c>
      <c r="Y43" s="134" t="s">
        <v>362</v>
      </c>
      <c r="Z43" s="134" t="s">
        <v>362</v>
      </c>
      <c r="AA43" s="134" t="s">
        <v>362</v>
      </c>
      <c r="AB43" s="134" t="s">
        <v>362</v>
      </c>
      <c r="AC43" s="134" t="s">
        <v>362</v>
      </c>
      <c r="AD43" s="135">
        <f>+Variables!H19</f>
        <v>15000</v>
      </c>
      <c r="AE43" s="135">
        <f>ROUND(AD43*1.04,-3)</f>
        <v>16000</v>
      </c>
      <c r="AF43" s="135">
        <f t="shared" ref="AF43:AJ43" si="28">ROUND(AE43*1.04,-3)</f>
        <v>17000</v>
      </c>
      <c r="AG43" s="135">
        <f t="shared" si="28"/>
        <v>18000</v>
      </c>
      <c r="AH43" s="135">
        <f>ROUND(AG43*1.04,-3)</f>
        <v>19000</v>
      </c>
      <c r="AI43" s="135">
        <f t="shared" si="28"/>
        <v>20000</v>
      </c>
      <c r="AJ43" s="135">
        <f t="shared" si="28"/>
        <v>21000</v>
      </c>
      <c r="AK43" s="135">
        <f t="shared" ref="AK43:AK50" si="29">SUM(AD43:AJ43)</f>
        <v>126000</v>
      </c>
      <c r="AL43" s="130" t="s">
        <v>721</v>
      </c>
      <c r="AM43" s="205"/>
      <c r="AP43" s="170">
        <f>ROUND(AJ43*1.04,-3)</f>
        <v>22000</v>
      </c>
      <c r="AQ43" s="170">
        <f>ROUND(AP43*1.04,-3)</f>
        <v>23000</v>
      </c>
      <c r="AR43" s="170">
        <f t="shared" ref="AR43:AT44" si="30">ROUND(AQ43*1.04,-3)</f>
        <v>24000</v>
      </c>
      <c r="AS43" s="170">
        <f t="shared" si="30"/>
        <v>25000</v>
      </c>
      <c r="AT43" s="170">
        <f t="shared" si="30"/>
        <v>26000</v>
      </c>
    </row>
    <row r="44" spans="2:46" ht="247.5" x14ac:dyDescent="0.25">
      <c r="B44" s="184" t="s">
        <v>488</v>
      </c>
      <c r="C44" s="126" t="s">
        <v>1151</v>
      </c>
      <c r="D44" s="64" t="s">
        <v>736</v>
      </c>
      <c r="E44" s="126"/>
      <c r="F44" s="133"/>
      <c r="G44" s="133"/>
      <c r="H44" s="133"/>
      <c r="I44" s="133"/>
      <c r="J44" s="133"/>
      <c r="K44" s="133"/>
      <c r="L44" s="184" t="s">
        <v>489</v>
      </c>
      <c r="M44" s="118" t="s">
        <v>490</v>
      </c>
      <c r="N44" s="218"/>
      <c r="O44" s="218"/>
      <c r="P44" s="165" t="s">
        <v>203</v>
      </c>
      <c r="Q44" s="165" t="s">
        <v>203</v>
      </c>
      <c r="R44" s="165" t="s">
        <v>203</v>
      </c>
      <c r="S44" s="165" t="s">
        <v>203</v>
      </c>
      <c r="T44" s="165" t="s">
        <v>203</v>
      </c>
      <c r="U44" s="134"/>
      <c r="V44" s="134"/>
      <c r="W44" s="134"/>
      <c r="X44" s="222">
        <f>ROUND(X24*0.7,-2)</f>
        <v>1300</v>
      </c>
      <c r="Y44" s="222">
        <f t="shared" ref="Y44:AC44" si="31">ROUND(Y24*0.7,-2)</f>
        <v>1500</v>
      </c>
      <c r="Z44" s="222">
        <f t="shared" si="31"/>
        <v>1800</v>
      </c>
      <c r="AA44" s="222">
        <f t="shared" si="31"/>
        <v>2000</v>
      </c>
      <c r="AB44" s="222">
        <f t="shared" si="31"/>
        <v>2300</v>
      </c>
      <c r="AC44" s="222">
        <f t="shared" si="31"/>
        <v>2700</v>
      </c>
      <c r="AD44" s="177">
        <v>0</v>
      </c>
      <c r="AE44" s="177">
        <f>ROUND(X44*(75-20%)*0.5,-3)</f>
        <v>49000</v>
      </c>
      <c r="AF44" s="177">
        <f t="shared" ref="AF44:AJ44" si="32">ROUND(Y44*(75-20%)*0.5,-3)</f>
        <v>56000</v>
      </c>
      <c r="AG44" s="177">
        <f t="shared" si="32"/>
        <v>67000</v>
      </c>
      <c r="AH44" s="177">
        <f t="shared" si="32"/>
        <v>75000</v>
      </c>
      <c r="AI44" s="177">
        <f t="shared" si="32"/>
        <v>86000</v>
      </c>
      <c r="AJ44" s="177">
        <f t="shared" si="32"/>
        <v>101000</v>
      </c>
      <c r="AK44" s="135">
        <f t="shared" si="29"/>
        <v>434000</v>
      </c>
      <c r="AL44" s="250" t="s">
        <v>715</v>
      </c>
      <c r="AM44" s="205"/>
      <c r="AP44" s="170">
        <f>ROUND(AJ44*1.04,-3)</f>
        <v>105000</v>
      </c>
      <c r="AQ44" s="170">
        <f>ROUND(AP44*1.04,-3)</f>
        <v>109000</v>
      </c>
      <c r="AR44" s="170">
        <f t="shared" si="30"/>
        <v>113000</v>
      </c>
      <c r="AS44" s="170">
        <f t="shared" si="30"/>
        <v>118000</v>
      </c>
      <c r="AT44" s="170">
        <f t="shared" si="30"/>
        <v>123000</v>
      </c>
    </row>
    <row r="45" spans="2:46" ht="305.25" customHeight="1" x14ac:dyDescent="0.25">
      <c r="B45" s="184" t="s">
        <v>491</v>
      </c>
      <c r="C45" s="126" t="s">
        <v>1059</v>
      </c>
      <c r="D45" s="64" t="s">
        <v>736</v>
      </c>
      <c r="E45" s="126"/>
      <c r="F45" s="133"/>
      <c r="G45" s="133"/>
      <c r="H45" s="133"/>
      <c r="I45" s="133"/>
      <c r="J45" s="133"/>
      <c r="K45" s="133"/>
      <c r="L45" s="184" t="s">
        <v>492</v>
      </c>
      <c r="M45" s="118" t="s">
        <v>493</v>
      </c>
      <c r="N45" s="218"/>
      <c r="O45" s="218"/>
      <c r="P45" s="165" t="s">
        <v>203</v>
      </c>
      <c r="Q45" s="165" t="s">
        <v>203</v>
      </c>
      <c r="R45" s="165" t="s">
        <v>203</v>
      </c>
      <c r="S45" s="165" t="s">
        <v>203</v>
      </c>
      <c r="T45" s="165" t="s">
        <v>203</v>
      </c>
      <c r="U45" s="134"/>
      <c r="V45" s="134"/>
      <c r="W45" s="134"/>
      <c r="X45" s="177">
        <f>ROUND(X44/'Strategic level'!P50,-2)</f>
        <v>2500</v>
      </c>
      <c r="Y45" s="177">
        <f>ROUND(Y44/'Strategic level'!Q50,-2)</f>
        <v>3100</v>
      </c>
      <c r="Z45" s="177">
        <f>ROUND(Z44/'Strategic level'!R50,-2)</f>
        <v>4100</v>
      </c>
      <c r="AA45" s="177">
        <f>ROUND(AA44/'Strategic level'!S50,-2)</f>
        <v>5000</v>
      </c>
      <c r="AB45" s="177">
        <f>ROUND(AB44/'Strategic level'!T50,-2)</f>
        <v>6200</v>
      </c>
      <c r="AC45" s="177">
        <f>ROUND(AC44/'Strategic level'!U50,-2)</f>
        <v>7900</v>
      </c>
      <c r="AD45" s="177"/>
      <c r="AE45" s="177">
        <f>ROUND(X45*(75-20%)/2*6,-3)</f>
        <v>561000</v>
      </c>
      <c r="AF45" s="177">
        <f t="shared" ref="AF45:AJ45" si="33">ROUND(Y45*(75-20%)/2*6,-3)</f>
        <v>696000</v>
      </c>
      <c r="AG45" s="177">
        <f t="shared" si="33"/>
        <v>920000</v>
      </c>
      <c r="AH45" s="177">
        <f t="shared" si="33"/>
        <v>1122000</v>
      </c>
      <c r="AI45" s="177">
        <f t="shared" si="33"/>
        <v>1391000</v>
      </c>
      <c r="AJ45" s="177">
        <f t="shared" si="33"/>
        <v>1773000</v>
      </c>
      <c r="AK45" s="177">
        <f t="shared" si="29"/>
        <v>6463000</v>
      </c>
      <c r="AL45" s="130" t="s">
        <v>722</v>
      </c>
      <c r="AM45" s="205"/>
    </row>
    <row r="46" spans="2:46" ht="330" x14ac:dyDescent="0.25">
      <c r="B46" s="184" t="s">
        <v>494</v>
      </c>
      <c r="C46" s="174" t="s">
        <v>1058</v>
      </c>
      <c r="D46" s="64" t="s">
        <v>736</v>
      </c>
      <c r="E46" s="133"/>
      <c r="F46" s="126"/>
      <c r="G46" s="126"/>
      <c r="H46" s="126"/>
      <c r="I46" s="126"/>
      <c r="J46" s="126"/>
      <c r="K46" s="126"/>
      <c r="L46" s="184" t="s">
        <v>495</v>
      </c>
      <c r="M46" s="130" t="s">
        <v>1152</v>
      </c>
      <c r="N46" s="218"/>
      <c r="O46" s="218"/>
      <c r="P46" s="165" t="s">
        <v>203</v>
      </c>
      <c r="Q46" s="165" t="s">
        <v>203</v>
      </c>
      <c r="R46" s="165" t="s">
        <v>203</v>
      </c>
      <c r="S46" s="165" t="s">
        <v>203</v>
      </c>
      <c r="T46" s="165" t="s">
        <v>203</v>
      </c>
      <c r="U46" s="134"/>
      <c r="V46" s="134"/>
      <c r="W46" s="134"/>
      <c r="X46" s="135"/>
      <c r="Y46" s="135">
        <f>ROUND(('Strategic level'!Q51+'Strategic level'!Q52)*1000,0)</f>
        <v>194722</v>
      </c>
      <c r="Z46" s="135">
        <f>ROUND(('Strategic level'!R51+'Strategic level'!R52)*1000,0)</f>
        <v>200244</v>
      </c>
      <c r="AA46" s="135">
        <f>ROUND(('Strategic level'!S51+'Strategic level'!S52)*1000,0)</f>
        <v>205425</v>
      </c>
      <c r="AB46" s="135">
        <f>ROUND(('Strategic level'!T51+'Strategic level'!T52)*1000,0)</f>
        <v>210287</v>
      </c>
      <c r="AC46" s="135">
        <f>ROUND(('Strategic level'!U51+'Strategic level'!U52)*1000,0)</f>
        <v>214851</v>
      </c>
      <c r="AD46" s="135"/>
      <c r="AE46" s="135"/>
      <c r="AF46" s="135">
        <f>ROUND(Y46*75*0.2*0.2,-3)</f>
        <v>584000</v>
      </c>
      <c r="AG46" s="135">
        <f t="shared" ref="AG46:AJ46" si="34">ROUND(Z46*75*0.2*0.2,-3)</f>
        <v>601000</v>
      </c>
      <c r="AH46" s="135">
        <f t="shared" si="34"/>
        <v>616000</v>
      </c>
      <c r="AI46" s="135">
        <f t="shared" si="34"/>
        <v>631000</v>
      </c>
      <c r="AJ46" s="135">
        <f t="shared" si="34"/>
        <v>645000</v>
      </c>
      <c r="AK46" s="135">
        <f t="shared" si="29"/>
        <v>3077000</v>
      </c>
      <c r="AL46" s="130" t="s">
        <v>1153</v>
      </c>
      <c r="AM46" s="205"/>
    </row>
    <row r="47" spans="2:46" ht="115.5" x14ac:dyDescent="0.25">
      <c r="B47" s="184" t="s">
        <v>496</v>
      </c>
      <c r="C47" s="174" t="s">
        <v>1154</v>
      </c>
      <c r="D47" s="64" t="s">
        <v>736</v>
      </c>
      <c r="E47" s="126"/>
      <c r="F47" s="133"/>
      <c r="G47" s="133"/>
      <c r="H47" s="133"/>
      <c r="I47" s="133"/>
      <c r="J47" s="133"/>
      <c r="K47" s="133"/>
      <c r="L47" s="184" t="s">
        <v>497</v>
      </c>
      <c r="M47" s="118" t="s">
        <v>123</v>
      </c>
      <c r="N47" s="218"/>
      <c r="O47" s="218"/>
      <c r="P47" s="165" t="s">
        <v>203</v>
      </c>
      <c r="Q47" s="165" t="s">
        <v>203</v>
      </c>
      <c r="R47" s="165" t="s">
        <v>203</v>
      </c>
      <c r="S47" s="165" t="s">
        <v>203</v>
      </c>
      <c r="T47" s="165" t="s">
        <v>203</v>
      </c>
      <c r="U47" s="134"/>
      <c r="V47" s="134"/>
      <c r="W47" s="134"/>
      <c r="X47" s="222">
        <f>ROUND(('Strategic level'!P51-'Strategic level'!O51+'Strategic level'!P52-'Strategic level'!O52)*1000*0.1,-2)</f>
        <v>600</v>
      </c>
      <c r="Y47" s="222">
        <f>ROUND(('Strategic level'!Q51-'Strategic level'!P51+'Strategic level'!Q52-'Strategic level'!P52)*1000*0.15,-2)</f>
        <v>900</v>
      </c>
      <c r="Z47" s="222">
        <f>ROUND(('Strategic level'!R51-'Strategic level'!Q51+'Strategic level'!R52-'Strategic level'!Q52)*1000*0.2,-2)</f>
        <v>1100</v>
      </c>
      <c r="AA47" s="222">
        <f>ROUND(('Strategic level'!S51-'Strategic level'!R51+'Strategic level'!S52-'Strategic level'!R52)*1000*0.25,-2)</f>
        <v>1300</v>
      </c>
      <c r="AB47" s="222">
        <f>ROUND(('Strategic level'!T51-'Strategic level'!S51+'Strategic level'!T52-'Strategic level'!S52)*1000*0.3,-2)</f>
        <v>1500</v>
      </c>
      <c r="AC47" s="222">
        <f>ROUND(('Strategic level'!U51-'Strategic level'!T51+'Strategic level'!U52-'Strategic level'!T52)*1000*0.4,-2)</f>
        <v>1800</v>
      </c>
      <c r="AD47" s="135">
        <v>0</v>
      </c>
      <c r="AE47" s="135">
        <f>ROUND(X47*'Strategic level'!P43/1000*12*(0.1/0.2),-3)</f>
        <v>1174000</v>
      </c>
      <c r="AF47" s="135">
        <f>ROUND(Y47*'Strategic level'!Q43/1000*12*(0.1/0.2),-3)</f>
        <v>1972000</v>
      </c>
      <c r="AG47" s="135">
        <f>ROUND(Z47*'Strategic level'!R43/1000*12*(0.1/0.2),-3)</f>
        <v>2700000</v>
      </c>
      <c r="AH47" s="135">
        <f>ROUND(AA47*'Strategic level'!S43/1000*12*(0.1/0.2),-3)</f>
        <v>3574000</v>
      </c>
      <c r="AI47" s="135">
        <f>ROUND(AB47*'Strategic level'!T43/1000*12*(0.1/0.2),-3)</f>
        <v>4618000</v>
      </c>
      <c r="AJ47" s="135">
        <f>ROUND(AC47*'Strategic level'!U43/1000*12*(0.1/0.2),-3)</f>
        <v>6207000</v>
      </c>
      <c r="AK47" s="135">
        <f t="shared" si="29"/>
        <v>20245000</v>
      </c>
      <c r="AL47" s="250" t="s">
        <v>716</v>
      </c>
      <c r="AM47" s="205"/>
    </row>
    <row r="48" spans="2:46" ht="99" x14ac:dyDescent="0.25">
      <c r="B48" s="187" t="s">
        <v>498</v>
      </c>
      <c r="C48" s="90" t="s">
        <v>499</v>
      </c>
      <c r="D48" s="190"/>
      <c r="E48" s="115"/>
      <c r="F48" s="115"/>
      <c r="G48" s="115"/>
      <c r="H48" s="115"/>
      <c r="I48" s="115"/>
      <c r="J48" s="115"/>
      <c r="K48" s="115"/>
      <c r="L48" s="414" t="s">
        <v>500</v>
      </c>
      <c r="M48" s="404" t="s">
        <v>501</v>
      </c>
      <c r="N48" s="404" t="s">
        <v>459</v>
      </c>
      <c r="O48" s="404" t="s">
        <v>502</v>
      </c>
      <c r="P48" s="405">
        <f>P52/P53</f>
        <v>7.5836431226765796E-2</v>
      </c>
      <c r="Q48" s="405">
        <f t="shared" ref="Q48:T48" si="35">Q52/Q53</f>
        <v>7.6383476227591576E-2</v>
      </c>
      <c r="R48" s="405">
        <f t="shared" si="35"/>
        <v>5.7799522129935145E-2</v>
      </c>
      <c r="S48" s="405">
        <f t="shared" si="35"/>
        <v>7.9029500366379901E-2</v>
      </c>
      <c r="T48" s="405">
        <f t="shared" si="35"/>
        <v>7.131211686448416E-2</v>
      </c>
      <c r="U48" s="405">
        <f t="shared" ref="U48:AC48" si="36">U52/U53</f>
        <v>7.8954378192736527E-2</v>
      </c>
      <c r="V48" s="411">
        <f>+(U48+W48)/2</f>
        <v>8.3024013531302079E-2</v>
      </c>
      <c r="W48" s="405">
        <f t="shared" si="36"/>
        <v>8.7093648869867632E-2</v>
      </c>
      <c r="X48" s="405">
        <f t="shared" si="36"/>
        <v>9.5718032574069883E-2</v>
      </c>
      <c r="Y48" s="405">
        <f t="shared" si="36"/>
        <v>0.10490222669466148</v>
      </c>
      <c r="Z48" s="405">
        <f t="shared" si="36"/>
        <v>0.11463325879041242</v>
      </c>
      <c r="AA48" s="405">
        <f t="shared" si="36"/>
        <v>0.12494192673537732</v>
      </c>
      <c r="AB48" s="405">
        <f t="shared" si="36"/>
        <v>0.13586067877574004</v>
      </c>
      <c r="AC48" s="405">
        <f t="shared" si="36"/>
        <v>0.14742369917489326</v>
      </c>
      <c r="AD48" s="132">
        <f>AD49+AD50+AD51</f>
        <v>0</v>
      </c>
      <c r="AE48" s="132">
        <f t="shared" ref="AE48:AK48" si="37">AE49+AE50+AE51</f>
        <v>967000</v>
      </c>
      <c r="AF48" s="132">
        <f t="shared" si="37"/>
        <v>1283000</v>
      </c>
      <c r="AG48" s="132">
        <f t="shared" si="37"/>
        <v>1723000</v>
      </c>
      <c r="AH48" s="132">
        <f t="shared" si="37"/>
        <v>2193000</v>
      </c>
      <c r="AI48" s="132">
        <f t="shared" si="37"/>
        <v>2731000</v>
      </c>
      <c r="AJ48" s="132">
        <f t="shared" si="37"/>
        <v>3522000</v>
      </c>
      <c r="AK48" s="132">
        <f t="shared" si="37"/>
        <v>12419000</v>
      </c>
      <c r="AL48" s="251"/>
      <c r="AM48" s="205"/>
    </row>
    <row r="49" spans="2:46" ht="148.5" x14ac:dyDescent="0.25">
      <c r="B49" s="184" t="s">
        <v>503</v>
      </c>
      <c r="C49" s="126" t="s">
        <v>1155</v>
      </c>
      <c r="D49" s="64" t="s">
        <v>736</v>
      </c>
      <c r="E49" s="126"/>
      <c r="F49" s="133"/>
      <c r="G49" s="133"/>
      <c r="H49" s="133"/>
      <c r="I49" s="133"/>
      <c r="J49" s="133"/>
      <c r="K49" s="133"/>
      <c r="L49" s="414"/>
      <c r="M49" s="404"/>
      <c r="N49" s="404"/>
      <c r="O49" s="404"/>
      <c r="P49" s="405"/>
      <c r="Q49" s="405"/>
      <c r="R49" s="405"/>
      <c r="S49" s="405"/>
      <c r="T49" s="405"/>
      <c r="U49" s="405"/>
      <c r="V49" s="412"/>
      <c r="W49" s="405"/>
      <c r="X49" s="405"/>
      <c r="Y49" s="405"/>
      <c r="Z49" s="405"/>
      <c r="AA49" s="405"/>
      <c r="AB49" s="405"/>
      <c r="AC49" s="405"/>
      <c r="AD49" s="135"/>
      <c r="AE49" s="135">
        <f>ROUND(X24*'Strategic level'!P43/1000*12*(0.2*0.5),-3)</f>
        <v>744000</v>
      </c>
      <c r="AF49" s="135">
        <f>ROUND(Y24*'Strategic level'!Q43/1000*12*(0.2*0.5),-3)</f>
        <v>960000</v>
      </c>
      <c r="AG49" s="135">
        <f>ROUND(Z24*'Strategic level'!R43/1000*12*(0.2*0.5),-3)</f>
        <v>1237000</v>
      </c>
      <c r="AH49" s="135">
        <f>ROUND(AA24*'Strategic level'!S43/1000*12*(0.2*0.5),-3)</f>
        <v>1594000</v>
      </c>
      <c r="AI49" s="135">
        <f>ROUND(AB24*'Strategic level'!T43/1000*12*(0.2*0.5),-3)</f>
        <v>2044000</v>
      </c>
      <c r="AJ49" s="135">
        <f>ROUND(AC24*'Strategic level'!U43/1000*12*(0.2*0.5),-3)</f>
        <v>2621000</v>
      </c>
      <c r="AK49" s="135">
        <f t="shared" si="29"/>
        <v>9200000</v>
      </c>
      <c r="AL49" s="250" t="s">
        <v>718</v>
      </c>
      <c r="AM49" s="205"/>
      <c r="AP49" s="170">
        <f>ROUND(AJ49*1.04,-3)</f>
        <v>2726000</v>
      </c>
      <c r="AQ49" s="170">
        <f>ROUND(AP49*1.04,-3)</f>
        <v>2835000</v>
      </c>
      <c r="AR49" s="170">
        <f t="shared" ref="AR49:AT49" si="38">ROUND(AQ49*1.04,-3)</f>
        <v>2948000</v>
      </c>
      <c r="AS49" s="170">
        <f t="shared" si="38"/>
        <v>3066000</v>
      </c>
      <c r="AT49" s="170">
        <f t="shared" si="38"/>
        <v>3189000</v>
      </c>
    </row>
    <row r="50" spans="2:46" ht="297" x14ac:dyDescent="0.25">
      <c r="B50" s="184" t="s">
        <v>504</v>
      </c>
      <c r="C50" s="126" t="s">
        <v>1156</v>
      </c>
      <c r="D50" s="64" t="s">
        <v>736</v>
      </c>
      <c r="E50" s="126"/>
      <c r="F50" s="133"/>
      <c r="G50" s="133"/>
      <c r="H50" s="133"/>
      <c r="I50" s="133"/>
      <c r="J50" s="133"/>
      <c r="K50" s="133"/>
      <c r="L50" s="414"/>
      <c r="M50" s="404"/>
      <c r="N50" s="404"/>
      <c r="O50" s="404"/>
      <c r="P50" s="405"/>
      <c r="Q50" s="405"/>
      <c r="R50" s="405"/>
      <c r="S50" s="405"/>
      <c r="T50" s="405"/>
      <c r="U50" s="405"/>
      <c r="V50" s="412"/>
      <c r="W50" s="405"/>
      <c r="X50" s="405"/>
      <c r="Y50" s="405"/>
      <c r="Z50" s="405"/>
      <c r="AA50" s="405"/>
      <c r="AB50" s="405"/>
      <c r="AC50" s="405"/>
      <c r="AD50" s="135"/>
      <c r="AE50" s="135">
        <f>ROUND(X24*0.5*'Strategic level'!P43/1000*12*(0.2*0.25),-3)</f>
        <v>186000</v>
      </c>
      <c r="AF50" s="135">
        <f>ROUND(Y24*0.5*'Strategic level'!Q35/'Strategic level'!P35*'Strategic level'!Q43/1000*12*(0.2*0.25),-3)</f>
        <v>251000</v>
      </c>
      <c r="AG50" s="135">
        <f>ROUND(Z24*0.5*'Strategic level'!R35/'Strategic level'!Q35*'Strategic level'!R43/1000*12*(0.2*0.25),-3)</f>
        <v>324000</v>
      </c>
      <c r="AH50" s="135">
        <f>ROUND(AA24*0.5*'Strategic level'!S35/'Strategic level'!R35*'Strategic level'!S43/1000*12*(0.2*0.25),-3)</f>
        <v>417000</v>
      </c>
      <c r="AI50" s="135">
        <f>ROUND(AB24*0.5*'Strategic level'!T35/'Strategic level'!S35*'Strategic level'!T43/1000*12*(0.2*0.25),-3)</f>
        <v>534000</v>
      </c>
      <c r="AJ50" s="135">
        <f>ROUND(AC24*0.5*'Strategic level'!U35/'Strategic level'!T35*'Strategic level'!U43/1000*12*(0.2*0.25),-3)</f>
        <v>683000</v>
      </c>
      <c r="AK50" s="135">
        <f t="shared" si="29"/>
        <v>2395000</v>
      </c>
      <c r="AL50" s="250" t="s">
        <v>1158</v>
      </c>
      <c r="AM50" s="205"/>
    </row>
    <row r="51" spans="2:46" ht="46.5" customHeight="1" x14ac:dyDescent="0.25">
      <c r="B51" s="363" t="s">
        <v>505</v>
      </c>
      <c r="C51" s="335" t="s">
        <v>1157</v>
      </c>
      <c r="D51" s="303" t="s">
        <v>736</v>
      </c>
      <c r="E51" s="303"/>
      <c r="F51" s="306"/>
      <c r="G51" s="306"/>
      <c r="H51" s="306"/>
      <c r="I51" s="306"/>
      <c r="J51" s="306"/>
      <c r="K51" s="306"/>
      <c r="L51" s="414"/>
      <c r="M51" s="404"/>
      <c r="N51" s="404"/>
      <c r="O51" s="404"/>
      <c r="P51" s="405"/>
      <c r="Q51" s="405"/>
      <c r="R51" s="405"/>
      <c r="S51" s="405"/>
      <c r="T51" s="405"/>
      <c r="U51" s="405"/>
      <c r="V51" s="413"/>
      <c r="W51" s="405"/>
      <c r="X51" s="405"/>
      <c r="Y51" s="405"/>
      <c r="Z51" s="405"/>
      <c r="AA51" s="405"/>
      <c r="AB51" s="405"/>
      <c r="AC51" s="405"/>
      <c r="AD51" s="406"/>
      <c r="AE51" s="406">
        <f>ROUND(X24*0.1*'Strategic level'!P43/1000*12*(0.2*0.25),-3)</f>
        <v>37000</v>
      </c>
      <c r="AF51" s="406">
        <f>ROUND(Y24*0.15*'Strategic level'!Q43/1000*12*(0.2*0.25),-3)</f>
        <v>72000</v>
      </c>
      <c r="AG51" s="406">
        <f>ROUND(Z24*0.1*'StG 1'!Z120/'StG 1'!Y120*'Strategic level'!R43/1000*12*(0.2*0.25),-3)</f>
        <v>162000</v>
      </c>
      <c r="AH51" s="406">
        <f>ROUND(AA24*0.1*'StG 1'!AA120/'StG 1'!Z120*'Strategic level'!S43/1000*12*(0.2*0.25),-3)</f>
        <v>182000</v>
      </c>
      <c r="AI51" s="406">
        <f>ROUND(AB24*0.1*'StG 1'!AB120/'StG 1'!AA120*'Strategic level'!T43/1000*12*(0.2*0.25),-3)</f>
        <v>153000</v>
      </c>
      <c r="AJ51" s="406">
        <f>ROUND(AC24*0.1*'StG 1'!AC120/'StG 1'!AB120*'Strategic level'!U43/1000*12*(0.2*0.25),-3)</f>
        <v>218000</v>
      </c>
      <c r="AK51" s="406">
        <f>SUM(AD51:AJ53)</f>
        <v>824000</v>
      </c>
      <c r="AL51" s="380" t="s">
        <v>1159</v>
      </c>
      <c r="AM51" s="205"/>
    </row>
    <row r="52" spans="2:46" ht="46.5" customHeight="1" x14ac:dyDescent="0.25">
      <c r="B52" s="364"/>
      <c r="C52" s="336"/>
      <c r="D52" s="304"/>
      <c r="E52" s="304"/>
      <c r="F52" s="307"/>
      <c r="G52" s="307"/>
      <c r="H52" s="307"/>
      <c r="I52" s="307"/>
      <c r="J52" s="307"/>
      <c r="K52" s="307"/>
      <c r="L52" s="184"/>
      <c r="M52" s="494" t="s">
        <v>506</v>
      </c>
      <c r="N52" s="495"/>
      <c r="O52" s="496"/>
      <c r="P52" s="241">
        <v>4386</v>
      </c>
      <c r="Q52" s="241">
        <v>3920</v>
      </c>
      <c r="R52" s="241">
        <v>2540</v>
      </c>
      <c r="S52" s="241">
        <v>2912</v>
      </c>
      <c r="T52" s="241">
        <v>2187</v>
      </c>
      <c r="U52" s="241">
        <f>T52*('Strategic level'!M51+'Strategic level'!M52)/('Strategic level'!L51+'Strategic level'!L52)</f>
        <v>2278.3925453582478</v>
      </c>
      <c r="V52" s="241">
        <f>+(U52+W52)/2</f>
        <v>2321.4772521861078</v>
      </c>
      <c r="W52" s="241">
        <f>U52*('Strategic level'!O51+'Strategic level'!O52)/('Strategic level'!M51+'Strategic level'!M52)</f>
        <v>2364.5619590139681</v>
      </c>
      <c r="X52" s="241">
        <f>W52*('Strategic level'!P51+'Strategic level'!P52)/('Strategic level'!O51+'Strategic level'!O52)</f>
        <v>2445.3968714224925</v>
      </c>
      <c r="Y52" s="241">
        <f>X52*('Strategic level'!Q51+'Strategic level'!Q52)/('Strategic level'!P51+'Strategic level'!P52)</f>
        <v>2521.6120204781728</v>
      </c>
      <c r="Z52" s="241">
        <f>Y52*('Strategic level'!R51+'Strategic level'!R52)/('Strategic level'!Q51+'Strategic level'!Q52)</f>
        <v>2593.1134024708995</v>
      </c>
      <c r="AA52" s="241">
        <f>Z52*('Strategic level'!S51+'Strategic level'!S52)/('Strategic level'!R51+'Strategic level'!R52)</f>
        <v>2660.2055223273969</v>
      </c>
      <c r="AB52" s="241">
        <f>AA52*('Strategic level'!T51+'Strategic level'!T52)/('Strategic level'!S51+'Strategic level'!S52)</f>
        <v>2723.1724436304585</v>
      </c>
      <c r="AC52" s="241">
        <f>AB52*('Strategic level'!U51+'Strategic level'!U52)/('Strategic level'!T51+'Strategic level'!T52)</f>
        <v>2782.2792046874679</v>
      </c>
      <c r="AD52" s="407"/>
      <c r="AE52" s="407"/>
      <c r="AF52" s="407"/>
      <c r="AG52" s="407"/>
      <c r="AH52" s="407"/>
      <c r="AI52" s="407"/>
      <c r="AJ52" s="407"/>
      <c r="AK52" s="407"/>
      <c r="AL52" s="381"/>
      <c r="AM52" s="205"/>
    </row>
    <row r="53" spans="2:46" ht="210" customHeight="1" x14ac:dyDescent="0.25">
      <c r="B53" s="366"/>
      <c r="C53" s="337"/>
      <c r="D53" s="305"/>
      <c r="E53" s="305"/>
      <c r="F53" s="308"/>
      <c r="G53" s="308"/>
      <c r="H53" s="308"/>
      <c r="I53" s="308"/>
      <c r="J53" s="308"/>
      <c r="K53" s="308"/>
      <c r="L53" s="184"/>
      <c r="M53" s="494" t="s">
        <v>507</v>
      </c>
      <c r="N53" s="495"/>
      <c r="O53" s="496"/>
      <c r="P53" s="241">
        <v>57835</v>
      </c>
      <c r="Q53" s="241">
        <v>51320</v>
      </c>
      <c r="R53" s="241">
        <v>43945</v>
      </c>
      <c r="S53" s="241">
        <v>36847</v>
      </c>
      <c r="T53" s="241">
        <v>30668</v>
      </c>
      <c r="U53" s="241">
        <f>T53*('Strategic level'!M45+'Strategic level'!M46)/('Strategic level'!L45+'Strategic level'!L46)</f>
        <v>28857.076675297663</v>
      </c>
      <c r="V53" s="241">
        <f>+(U53+W53)/2</f>
        <v>28003.36261988218</v>
      </c>
      <c r="W53" s="241">
        <f>U53*('Strategic level'!O45+'Strategic level'!O46)/('Strategic level'!M45+'Strategic level'!M46)</f>
        <v>27149.648564466694</v>
      </c>
      <c r="X53" s="241">
        <f>W53*('Strategic level'!P45+'Strategic level'!P46)/('Strategic level'!O45+'Strategic level'!O46)</f>
        <v>25547.922430709812</v>
      </c>
      <c r="Y53" s="241">
        <f>X53*('Strategic level'!Q45+'Strategic level'!Q46)/('Strategic level'!P45+'Strategic level'!P46)</f>
        <v>24037.735898760468</v>
      </c>
      <c r="Z53" s="241">
        <f>Y53*('Strategic level'!R45+'Strategic level'!R46)/('Strategic level'!Q45+'Strategic level'!Q46)</f>
        <v>22620.951631602569</v>
      </c>
      <c r="AA53" s="241">
        <f>Z53*('Strategic level'!S45+'Strategic level'!S46)/('Strategic level'!R45+'Strategic level'!R46)</f>
        <v>21291.535930621754</v>
      </c>
      <c r="AB53" s="241">
        <f>AA53*('Strategic level'!T45+'Strategic level'!T46)/('Strategic level'!S45+'Strategic level'!S46)</f>
        <v>20043.860137968939</v>
      </c>
      <c r="AC53" s="241">
        <f>AB53*('Strategic level'!U45+'Strategic level'!U46)/('Strategic level'!T45+'Strategic level'!T46)</f>
        <v>18872.672577471854</v>
      </c>
      <c r="AD53" s="408"/>
      <c r="AE53" s="408"/>
      <c r="AF53" s="408"/>
      <c r="AG53" s="408"/>
      <c r="AH53" s="408"/>
      <c r="AI53" s="408"/>
      <c r="AJ53" s="408"/>
      <c r="AK53" s="408"/>
      <c r="AL53" s="382"/>
      <c r="AM53" s="205"/>
    </row>
    <row r="54" spans="2:46" x14ac:dyDescent="0.25">
      <c r="AL54" s="497"/>
    </row>
    <row r="55" spans="2:46" x14ac:dyDescent="0.25">
      <c r="AL55" s="497"/>
    </row>
    <row r="56" spans="2:46" x14ac:dyDescent="0.25">
      <c r="AL56" s="497"/>
    </row>
  </sheetData>
  <dataConsolidate/>
  <mergeCells count="182">
    <mergeCell ref="AP2:AT2"/>
    <mergeCell ref="AP4:AP6"/>
    <mergeCell ref="AQ4:AQ6"/>
    <mergeCell ref="AR4:AR6"/>
    <mergeCell ref="AS4:AS6"/>
    <mergeCell ref="AT4:AT6"/>
    <mergeCell ref="AK4:AK6"/>
    <mergeCell ref="AD2:AK2"/>
    <mergeCell ref="AL4:AL6"/>
    <mergeCell ref="AK25:AK27"/>
    <mergeCell ref="AK33:AK35"/>
    <mergeCell ref="AD4:AD6"/>
    <mergeCell ref="AE4:AE6"/>
    <mergeCell ref="AF4:AF6"/>
    <mergeCell ref="AG4:AG6"/>
    <mergeCell ref="AH4:AH6"/>
    <mergeCell ref="AI4:AI6"/>
    <mergeCell ref="AJ4:AJ6"/>
    <mergeCell ref="AJ33:AJ35"/>
    <mergeCell ref="AG13:AG15"/>
    <mergeCell ref="AH13:AH15"/>
    <mergeCell ref="AI13:AI15"/>
    <mergeCell ref="AJ13:AJ15"/>
    <mergeCell ref="AE8:AE10"/>
    <mergeCell ref="AD13:AD15"/>
    <mergeCell ref="AE13:AE15"/>
    <mergeCell ref="AD22:AD23"/>
    <mergeCell ref="AL51:AL53"/>
    <mergeCell ref="AJ37:AJ38"/>
    <mergeCell ref="AL37:AL38"/>
    <mergeCell ref="AD37:AD38"/>
    <mergeCell ref="AE37:AE38"/>
    <mergeCell ref="AF37:AF38"/>
    <mergeCell ref="AG37:AG38"/>
    <mergeCell ref="AH37:AH38"/>
    <mergeCell ref="AI37:AI38"/>
    <mergeCell ref="AK51:AK53"/>
    <mergeCell ref="AF51:AF53"/>
    <mergeCell ref="AG51:AG53"/>
    <mergeCell ref="AH51:AH53"/>
    <mergeCell ref="AI51:AI53"/>
    <mergeCell ref="AJ51:AJ53"/>
    <mergeCell ref="AL33:AL35"/>
    <mergeCell ref="AD33:AD35"/>
    <mergeCell ref="AE33:AE35"/>
    <mergeCell ref="AF33:AF35"/>
    <mergeCell ref="AG33:AG35"/>
    <mergeCell ref="AH33:AH35"/>
    <mergeCell ref="AI33:AI35"/>
    <mergeCell ref="AK37:AK38"/>
    <mergeCell ref="AL22:AL23"/>
    <mergeCell ref="AD25:AD27"/>
    <mergeCell ref="AE25:AE27"/>
    <mergeCell ref="AF25:AF27"/>
    <mergeCell ref="AG25:AG27"/>
    <mergeCell ref="AH25:AH27"/>
    <mergeCell ref="AI25:AI27"/>
    <mergeCell ref="AJ25:AJ27"/>
    <mergeCell ref="AL25:AL27"/>
    <mergeCell ref="AK22:AK23"/>
    <mergeCell ref="AE22:AE23"/>
    <mergeCell ref="AF22:AF23"/>
    <mergeCell ref="AG22:AG23"/>
    <mergeCell ref="AH22:AH23"/>
    <mergeCell ref="AI22:AI23"/>
    <mergeCell ref="AJ22:AJ23"/>
    <mergeCell ref="AL13:AL15"/>
    <mergeCell ref="AK13:AK15"/>
    <mergeCell ref="AF8:AF10"/>
    <mergeCell ref="AG8:AG10"/>
    <mergeCell ref="AH8:AH10"/>
    <mergeCell ref="AI8:AI10"/>
    <mergeCell ref="AJ8:AJ10"/>
    <mergeCell ref="AL8:AL10"/>
    <mergeCell ref="AK8:AK10"/>
    <mergeCell ref="J22:J23"/>
    <mergeCell ref="K22:K23"/>
    <mergeCell ref="J8:J10"/>
    <mergeCell ref="K8:K10"/>
    <mergeCell ref="AF13:AF15"/>
    <mergeCell ref="AD8:AD10"/>
    <mergeCell ref="X21:AC21"/>
    <mergeCell ref="D25:D27"/>
    <mergeCell ref="E25:E27"/>
    <mergeCell ref="F25:F27"/>
    <mergeCell ref="G25:G27"/>
    <mergeCell ref="H25:H27"/>
    <mergeCell ref="I25:I27"/>
    <mergeCell ref="J25:J27"/>
    <mergeCell ref="K25:K27"/>
    <mergeCell ref="D22:D23"/>
    <mergeCell ref="E22:E23"/>
    <mergeCell ref="F22:F23"/>
    <mergeCell ref="G22:G23"/>
    <mergeCell ref="H22:H23"/>
    <mergeCell ref="I22:I23"/>
    <mergeCell ref="D13:D15"/>
    <mergeCell ref="H13:H15"/>
    <mergeCell ref="I13:I15"/>
    <mergeCell ref="J13:J15"/>
    <mergeCell ref="K13:K15"/>
    <mergeCell ref="H4:H6"/>
    <mergeCell ref="I4:I6"/>
    <mergeCell ref="J4:J6"/>
    <mergeCell ref="K4:K6"/>
    <mergeCell ref="D8:D10"/>
    <mergeCell ref="E8:E10"/>
    <mergeCell ref="F8:F10"/>
    <mergeCell ref="G8:G10"/>
    <mergeCell ref="H8:H10"/>
    <mergeCell ref="I8:I10"/>
    <mergeCell ref="E13:E15"/>
    <mergeCell ref="F13:F15"/>
    <mergeCell ref="G13:G15"/>
    <mergeCell ref="R48:R51"/>
    <mergeCell ref="B37:B38"/>
    <mergeCell ref="C37:C38"/>
    <mergeCell ref="L48:L51"/>
    <mergeCell ref="M48:M51"/>
    <mergeCell ref="N48:N51"/>
    <mergeCell ref="D37:D38"/>
    <mergeCell ref="E37:E38"/>
    <mergeCell ref="F37:F38"/>
    <mergeCell ref="G37:G38"/>
    <mergeCell ref="C51:C53"/>
    <mergeCell ref="B51:B53"/>
    <mergeCell ref="K51:K53"/>
    <mergeCell ref="D51:D53"/>
    <mergeCell ref="E51:E53"/>
    <mergeCell ref="F51:F53"/>
    <mergeCell ref="G51:G53"/>
    <mergeCell ref="H37:H38"/>
    <mergeCell ref="I37:I38"/>
    <mergeCell ref="H51:H53"/>
    <mergeCell ref="I51:I53"/>
    <mergeCell ref="J51:J53"/>
    <mergeCell ref="M52:O52"/>
    <mergeCell ref="M53:O53"/>
    <mergeCell ref="W48:W51"/>
    <mergeCell ref="X48:X51"/>
    <mergeCell ref="Y48:Y51"/>
    <mergeCell ref="Z48:Z51"/>
    <mergeCell ref="AA48:AA51"/>
    <mergeCell ref="AB48:AB51"/>
    <mergeCell ref="AC48:AC51"/>
    <mergeCell ref="AD51:AD53"/>
    <mergeCell ref="S48:S51"/>
    <mergeCell ref="T48:T51"/>
    <mergeCell ref="V48:V51"/>
    <mergeCell ref="E2:K2"/>
    <mergeCell ref="P2:T2"/>
    <mergeCell ref="U2:AC2"/>
    <mergeCell ref="B4:B6"/>
    <mergeCell ref="C4:C6"/>
    <mergeCell ref="D4:D6"/>
    <mergeCell ref="E4:E6"/>
    <mergeCell ref="F4:F6"/>
    <mergeCell ref="G4:G6"/>
    <mergeCell ref="AL54:AL56"/>
    <mergeCell ref="B25:B27"/>
    <mergeCell ref="C25:C27"/>
    <mergeCell ref="B33:B35"/>
    <mergeCell ref="C33:C35"/>
    <mergeCell ref="B8:B10"/>
    <mergeCell ref="C8:C10"/>
    <mergeCell ref="B13:B15"/>
    <mergeCell ref="C13:C15"/>
    <mergeCell ref="B22:B23"/>
    <mergeCell ref="C22:C23"/>
    <mergeCell ref="O48:O51"/>
    <mergeCell ref="P48:P51"/>
    <mergeCell ref="Q48:Q51"/>
    <mergeCell ref="D33:D35"/>
    <mergeCell ref="E33:E35"/>
    <mergeCell ref="F33:F35"/>
    <mergeCell ref="G33:G35"/>
    <mergeCell ref="AE51:AE53"/>
    <mergeCell ref="U39:AC39"/>
    <mergeCell ref="U40:AC40"/>
    <mergeCell ref="J37:J38"/>
    <mergeCell ref="K37:K38"/>
    <mergeCell ref="U48:U51"/>
  </mergeCells>
  <pageMargins left="0.7" right="0.7" top="0.75" bottom="0.75" header="0.3" footer="0.3"/>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50"/>
  <sheetViews>
    <sheetView zoomScale="90" zoomScaleNormal="90" workbookViewId="0">
      <pane xSplit="3" ySplit="3" topLeftCell="D50" activePane="bottomRight" state="frozen"/>
      <selection pane="topRight" activeCell="D1" sqref="D1"/>
      <selection pane="bottomLeft" activeCell="A4" sqref="A4"/>
      <selection pane="bottomRight" activeCell="L70" sqref="L70"/>
    </sheetView>
  </sheetViews>
  <sheetFormatPr defaultColWidth="8.85546875" defaultRowHeight="16.5" x14ac:dyDescent="0.25"/>
  <cols>
    <col min="1" max="1" width="3.42578125" style="125" customWidth="1"/>
    <col min="2" max="2" width="20.7109375" style="124" customWidth="1"/>
    <col min="3" max="3" width="50.7109375" style="125" customWidth="1"/>
    <col min="4" max="4" width="30.7109375" style="125" customWidth="1"/>
    <col min="5" max="11" width="6.7109375" style="125" bestFit="1" customWidth="1"/>
    <col min="12" max="12" width="20.7109375" style="124" customWidth="1"/>
    <col min="13" max="13" width="39.7109375" style="125" customWidth="1"/>
    <col min="14" max="14" width="28.7109375" style="125" customWidth="1"/>
    <col min="15" max="15" width="46.7109375" style="125" customWidth="1"/>
    <col min="16" max="16" width="10.7109375" style="125" bestFit="1" customWidth="1"/>
    <col min="17" max="17" width="9.42578125" style="125" bestFit="1" customWidth="1"/>
    <col min="18" max="18" width="9.5703125" style="125" bestFit="1" customWidth="1"/>
    <col min="19" max="19" width="10.7109375" style="125" bestFit="1" customWidth="1"/>
    <col min="20" max="20" width="10.85546875" style="125" bestFit="1" customWidth="1" collapsed="1"/>
    <col min="21" max="21" width="14.5703125" style="125" bestFit="1" customWidth="1"/>
    <col min="22" max="22" width="14.42578125" style="125" customWidth="1"/>
    <col min="23" max="23" width="14.42578125" style="125" bestFit="1" customWidth="1"/>
    <col min="24" max="24" width="14.5703125" style="125" bestFit="1" customWidth="1"/>
    <col min="25" max="25" width="14.28515625" style="125" bestFit="1" customWidth="1"/>
    <col min="26" max="26" width="14.5703125" style="125" bestFit="1" customWidth="1"/>
    <col min="27" max="27" width="15.85546875" style="125" bestFit="1" customWidth="1"/>
    <col min="28" max="28" width="16" style="125" bestFit="1" customWidth="1"/>
    <col min="29" max="29" width="16.140625" style="125" bestFit="1" customWidth="1"/>
    <col min="30" max="30" width="15.140625" style="143" bestFit="1" customWidth="1"/>
    <col min="31" max="31" width="18.7109375" style="143" bestFit="1" customWidth="1"/>
    <col min="32" max="36" width="19" style="143" bestFit="1" customWidth="1"/>
    <col min="37" max="37" width="20.42578125" style="143" bestFit="1" customWidth="1"/>
    <col min="38" max="38" width="30.85546875" style="143" customWidth="1"/>
    <col min="39" max="39" width="9.28515625" style="125" bestFit="1" customWidth="1"/>
    <col min="40" max="40" width="8.85546875" style="125"/>
    <col min="41" max="41" width="9" style="125" bestFit="1" customWidth="1"/>
    <col min="42" max="42" width="16.28515625" style="125" bestFit="1" customWidth="1"/>
    <col min="43" max="43" width="16.140625" style="125" bestFit="1" customWidth="1"/>
    <col min="44" max="44" width="15.85546875" style="125" bestFit="1" customWidth="1"/>
    <col min="45" max="45" width="16.140625" style="125" bestFit="1" customWidth="1"/>
    <col min="46" max="46" width="16" style="125" bestFit="1" customWidth="1"/>
    <col min="47" max="16384" width="8.85546875" style="125"/>
  </cols>
  <sheetData>
    <row r="1" spans="2:46" x14ac:dyDescent="0.25">
      <c r="AD1" s="125"/>
      <c r="AE1" s="125"/>
      <c r="AF1" s="125"/>
      <c r="AG1" s="125"/>
      <c r="AH1" s="125"/>
      <c r="AI1" s="125"/>
      <c r="AJ1" s="125"/>
      <c r="AK1" s="125"/>
      <c r="AL1" s="125"/>
    </row>
    <row r="2" spans="2:46" s="144" customFormat="1" ht="49.5" x14ac:dyDescent="0.25">
      <c r="B2" s="181" t="s">
        <v>40</v>
      </c>
      <c r="C2" s="181" t="s">
        <v>160</v>
      </c>
      <c r="D2" s="181" t="s">
        <v>337</v>
      </c>
      <c r="E2" s="287" t="s">
        <v>338</v>
      </c>
      <c r="F2" s="287"/>
      <c r="G2" s="287"/>
      <c r="H2" s="287"/>
      <c r="I2" s="287"/>
      <c r="J2" s="287"/>
      <c r="K2" s="287"/>
      <c r="L2" s="181" t="s">
        <v>41</v>
      </c>
      <c r="M2" s="181" t="s">
        <v>42</v>
      </c>
      <c r="N2" s="181" t="s">
        <v>238</v>
      </c>
      <c r="O2" s="181" t="s">
        <v>43</v>
      </c>
      <c r="P2" s="287" t="s">
        <v>44</v>
      </c>
      <c r="Q2" s="287"/>
      <c r="R2" s="287"/>
      <c r="S2" s="287"/>
      <c r="T2" s="287"/>
      <c r="U2" s="287" t="s">
        <v>336</v>
      </c>
      <c r="V2" s="287"/>
      <c r="W2" s="287"/>
      <c r="X2" s="287"/>
      <c r="Y2" s="287"/>
      <c r="Z2" s="287"/>
      <c r="AA2" s="287"/>
      <c r="AB2" s="287"/>
      <c r="AC2" s="287"/>
      <c r="AD2" s="287" t="s">
        <v>339</v>
      </c>
      <c r="AE2" s="287"/>
      <c r="AF2" s="287"/>
      <c r="AG2" s="287"/>
      <c r="AH2" s="287"/>
      <c r="AI2" s="287"/>
      <c r="AJ2" s="287"/>
      <c r="AK2" s="287"/>
      <c r="AL2" s="181" t="s">
        <v>350</v>
      </c>
      <c r="AP2" s="294" t="s">
        <v>952</v>
      </c>
      <c r="AQ2" s="295"/>
      <c r="AR2" s="295"/>
      <c r="AS2" s="295"/>
      <c r="AT2" s="296"/>
    </row>
    <row r="3" spans="2:46" s="144" customFormat="1" x14ac:dyDescent="0.25">
      <c r="B3" s="181"/>
      <c r="C3" s="145"/>
      <c r="D3" s="145"/>
      <c r="E3" s="181">
        <v>2025</v>
      </c>
      <c r="F3" s="181">
        <f>+E3+1</f>
        <v>2026</v>
      </c>
      <c r="G3" s="181">
        <f t="shared" ref="G3:K3" si="0">+F3+1</f>
        <v>2027</v>
      </c>
      <c r="H3" s="181">
        <f t="shared" si="0"/>
        <v>2028</v>
      </c>
      <c r="I3" s="181">
        <f t="shared" si="0"/>
        <v>2029</v>
      </c>
      <c r="J3" s="181">
        <f t="shared" si="0"/>
        <v>2030</v>
      </c>
      <c r="K3" s="181">
        <f t="shared" si="0"/>
        <v>2031</v>
      </c>
      <c r="L3" s="181"/>
      <c r="M3" s="145"/>
      <c r="N3" s="146"/>
      <c r="O3" s="146"/>
      <c r="P3" s="181">
        <v>2018</v>
      </c>
      <c r="Q3" s="181">
        <v>2019</v>
      </c>
      <c r="R3" s="181">
        <v>2020</v>
      </c>
      <c r="S3" s="181">
        <v>2021</v>
      </c>
      <c r="T3" s="181">
        <v>2022</v>
      </c>
      <c r="U3" s="181">
        <v>2023</v>
      </c>
      <c r="V3" s="181">
        <f>+U3+1</f>
        <v>2024</v>
      </c>
      <c r="W3" s="181">
        <f t="shared" ref="W3:AC3" si="1">+V3+1</f>
        <v>2025</v>
      </c>
      <c r="X3" s="181">
        <f t="shared" si="1"/>
        <v>2026</v>
      </c>
      <c r="Y3" s="181">
        <f t="shared" si="1"/>
        <v>2027</v>
      </c>
      <c r="Z3" s="181">
        <f t="shared" si="1"/>
        <v>2028</v>
      </c>
      <c r="AA3" s="181">
        <f t="shared" si="1"/>
        <v>2029</v>
      </c>
      <c r="AB3" s="181">
        <f t="shared" si="1"/>
        <v>2030</v>
      </c>
      <c r="AC3" s="181">
        <f t="shared" si="1"/>
        <v>2031</v>
      </c>
      <c r="AD3" s="181">
        <v>2025</v>
      </c>
      <c r="AE3" s="181">
        <f>+AD3+1</f>
        <v>2026</v>
      </c>
      <c r="AF3" s="181">
        <f t="shared" ref="AF3:AJ3" si="2">+AE3+1</f>
        <v>2027</v>
      </c>
      <c r="AG3" s="181">
        <f t="shared" si="2"/>
        <v>2028</v>
      </c>
      <c r="AH3" s="181">
        <f t="shared" si="2"/>
        <v>2029</v>
      </c>
      <c r="AI3" s="181">
        <f t="shared" si="2"/>
        <v>2030</v>
      </c>
      <c r="AJ3" s="181">
        <f t="shared" si="2"/>
        <v>2031</v>
      </c>
      <c r="AK3" s="181" t="s">
        <v>708</v>
      </c>
      <c r="AL3" s="181"/>
      <c r="AP3" s="171">
        <v>2031</v>
      </c>
      <c r="AQ3" s="171">
        <v>2032</v>
      </c>
      <c r="AR3" s="171">
        <v>2033</v>
      </c>
      <c r="AS3" s="171">
        <v>2034</v>
      </c>
      <c r="AT3" s="171">
        <v>2035</v>
      </c>
    </row>
    <row r="4" spans="2:46" ht="66" x14ac:dyDescent="0.25">
      <c r="B4" s="365" t="s">
        <v>3</v>
      </c>
      <c r="C4" s="401" t="s">
        <v>1160</v>
      </c>
      <c r="D4" s="354"/>
      <c r="E4" s="354"/>
      <c r="F4" s="354"/>
      <c r="G4" s="354"/>
      <c r="H4" s="354"/>
      <c r="I4" s="354"/>
      <c r="J4" s="354"/>
      <c r="K4" s="354"/>
      <c r="L4" s="187" t="s">
        <v>72</v>
      </c>
      <c r="M4" s="188" t="s">
        <v>220</v>
      </c>
      <c r="N4" s="188" t="str">
        <f>'Strategic level'!F53</f>
        <v>Արմստատբանկ, Արմստատ</v>
      </c>
      <c r="O4" s="188" t="str">
        <f>'Strategic level'!G53</f>
        <v>Զբաղվածների մասնաբաժինը նույն սեռատարիքային խմբի աշխատանքային ռեսուրսների նկատմամբ (ՀՀ կին բնակչություն, 15-74 տարեկան)</v>
      </c>
      <c r="P4" s="147">
        <f>IF(ISBLANK('Strategic level'!H53)," ",'Strategic level'!H53)</f>
        <v>0.38118769702649735</v>
      </c>
      <c r="Q4" s="147">
        <f>IF(ISBLANK('Strategic level'!I53)," ",'Strategic level'!I53)</f>
        <v>0.40064565457480256</v>
      </c>
      <c r="R4" s="147">
        <f>IF(ISBLANK('Strategic level'!J53)," ",'Strategic level'!J53)</f>
        <v>0.40860215053763438</v>
      </c>
      <c r="S4" s="147">
        <f>IF(ISBLANK('Strategic level'!K53)," ",'Strategic level'!K53)</f>
        <v>0.40501762728539803</v>
      </c>
      <c r="T4" s="147">
        <f>IF(ISBLANK('Strategic level'!L53)," ",'Strategic level'!L53)</f>
        <v>0.41537228137288995</v>
      </c>
      <c r="U4" s="147">
        <f>IF(ISBLANK('Strategic level'!M53)," ",'Strategic level'!M53)</f>
        <v>0.42105203100600463</v>
      </c>
      <c r="V4" s="147">
        <f>+(U4+W4)/2</f>
        <v>0.42540672537260199</v>
      </c>
      <c r="W4" s="147">
        <f>IF(ISBLANK('Strategic level'!O53)," ",'Strategic level'!O53)</f>
        <v>0.42976141973919935</v>
      </c>
      <c r="X4" s="147">
        <f>IF(ISBLANK('Strategic level'!P53)," ",'Strategic level'!P53)</f>
        <v>0.43940525149457732</v>
      </c>
      <c r="Y4" s="147">
        <f>IF(ISBLANK('Strategic level'!Q53)," ",'Strategic level'!Q53)</f>
        <v>0.45221187309628758</v>
      </c>
      <c r="Z4" s="147">
        <f>IF(ISBLANK('Strategic level'!R53)," ",'Strategic level'!R53)</f>
        <v>0.46557056895249405</v>
      </c>
      <c r="AA4" s="147">
        <f>IF(ISBLANK('Strategic level'!S53)," ",'Strategic level'!S53)</f>
        <v>0.47902988930973284</v>
      </c>
      <c r="AB4" s="147">
        <f>IF(ISBLANK('Strategic level'!T53)," ",'Strategic level'!T53)</f>
        <v>0.49330254804479645</v>
      </c>
      <c r="AC4" s="147">
        <f>IF(ISBLANK('Strategic level'!U53)," ",'Strategic level'!U53)</f>
        <v>0.50867759504298704</v>
      </c>
      <c r="AD4" s="450">
        <f t="shared" ref="AD4:AK4" si="3">AD8+AD19+AD42</f>
        <v>70000</v>
      </c>
      <c r="AE4" s="450">
        <f t="shared" si="3"/>
        <v>3851000</v>
      </c>
      <c r="AF4" s="450">
        <f t="shared" si="3"/>
        <v>4254000</v>
      </c>
      <c r="AG4" s="450">
        <f t="shared" si="3"/>
        <v>5456000</v>
      </c>
      <c r="AH4" s="450">
        <f t="shared" si="3"/>
        <v>6905000</v>
      </c>
      <c r="AI4" s="450">
        <f t="shared" si="3"/>
        <v>8425000</v>
      </c>
      <c r="AJ4" s="450">
        <f t="shared" si="3"/>
        <v>10286000</v>
      </c>
      <c r="AK4" s="450">
        <f t="shared" si="3"/>
        <v>39172000</v>
      </c>
      <c r="AL4" s="452"/>
      <c r="AP4" s="300">
        <f>SUM(AP8:AP1048576)</f>
        <v>1688000</v>
      </c>
      <c r="AQ4" s="300">
        <f>SUM(AQ8:AQ1048576)</f>
        <v>1756000</v>
      </c>
      <c r="AR4" s="300">
        <f>SUM(AR8:AR1048576)</f>
        <v>1827000</v>
      </c>
      <c r="AS4" s="300">
        <f>SUM(AS8:AS1048576)</f>
        <v>1900000</v>
      </c>
      <c r="AT4" s="300">
        <f>SUM(AT8:AT1048576)</f>
        <v>1976000</v>
      </c>
    </row>
    <row r="5" spans="2:46" ht="82.5" x14ac:dyDescent="0.25">
      <c r="B5" s="365"/>
      <c r="C5" s="401"/>
      <c r="D5" s="354"/>
      <c r="E5" s="354"/>
      <c r="F5" s="354"/>
      <c r="G5" s="354"/>
      <c r="H5" s="354"/>
      <c r="I5" s="354"/>
      <c r="J5" s="354"/>
      <c r="K5" s="354"/>
      <c r="L5" s="187" t="s">
        <v>156</v>
      </c>
      <c r="M5" s="188" t="s">
        <v>221</v>
      </c>
      <c r="N5" s="188" t="str">
        <f>'Strategic level'!F56</f>
        <v>Աշխատուժի հետազոտության միկրոտվյալների բազա, Արմստատ</v>
      </c>
      <c r="O5" s="188" t="str">
        <f>'Strategic level'!G56</f>
        <v>Աշխատանքի թերօգտագործման ագրեգացված ցուցանիշի հարաբերությունը նույն սեռատարիքային խմբի զբաղվածների թվաքանակին (ՀՀ կին բնակչություն, 30-39 տարեկան)</v>
      </c>
      <c r="P5" s="147">
        <f>IF(ISBLANK('Strategic level'!H56)," ",'Strategic level'!H56)</f>
        <v>0.70670689408370668</v>
      </c>
      <c r="Q5" s="147" t="str">
        <f>IF(ISBLANK('Strategic level'!I56)," ",'Strategic level'!I56)</f>
        <v xml:space="preserve"> </v>
      </c>
      <c r="R5" s="147" t="str">
        <f>IF(ISBLANK('Strategic level'!J56)," ",'Strategic level'!J56)</f>
        <v xml:space="preserve"> </v>
      </c>
      <c r="S5" s="147">
        <f>IF(ISBLANK('Strategic level'!K56)," ",'Strategic level'!K56)</f>
        <v>0.37522883295194509</v>
      </c>
      <c r="T5" s="147">
        <f>IF(ISBLANK('Strategic level'!L56)," ",'Strategic level'!L56)</f>
        <v>0.33464181412128507</v>
      </c>
      <c r="U5" s="147">
        <f>IF(ISBLANK('Strategic level'!M56)," ",'Strategic level'!M56)</f>
        <v>0.29543490720380317</v>
      </c>
      <c r="V5" s="147">
        <f>+(U5+W5)/2</f>
        <v>0.27812820218122936</v>
      </c>
      <c r="W5" s="147">
        <f>IF(ISBLANK('Strategic level'!O56)," ",'Strategic level'!O56)</f>
        <v>0.26082149715865555</v>
      </c>
      <c r="X5" s="147">
        <f>IF(ISBLANK('Strategic level'!P56)," ",'Strategic level'!P56)</f>
        <v>0.22956986035923871</v>
      </c>
      <c r="Y5" s="147">
        <f>IF(ISBLANK('Strategic level'!Q56)," ",'Strategic level'!Q56)</f>
        <v>0.218507898021881</v>
      </c>
      <c r="Z5" s="147">
        <f>IF(ISBLANK('Strategic level'!R56)," ",'Strategic level'!R56)</f>
        <v>0.20797896301904209</v>
      </c>
      <c r="AA5" s="147">
        <f>IF(ISBLANK('Strategic level'!S56)," ",'Strategic level'!S56)</f>
        <v>0.19795737110676223</v>
      </c>
      <c r="AB5" s="147">
        <f>IF(ISBLANK('Strategic level'!T56)," ",'Strategic level'!T56)</f>
        <v>0.18841867565188561</v>
      </c>
      <c r="AC5" s="147">
        <f>IF(ISBLANK('Strategic level'!U56)," ",'Strategic level'!U56)</f>
        <v>0.17933960799703574</v>
      </c>
      <c r="AD5" s="450"/>
      <c r="AE5" s="450"/>
      <c r="AF5" s="450"/>
      <c r="AG5" s="450"/>
      <c r="AH5" s="450"/>
      <c r="AI5" s="450"/>
      <c r="AJ5" s="450"/>
      <c r="AK5" s="450"/>
      <c r="AL5" s="452"/>
      <c r="AP5" s="300"/>
      <c r="AQ5" s="300"/>
      <c r="AR5" s="300"/>
      <c r="AS5" s="300"/>
      <c r="AT5" s="300"/>
    </row>
    <row r="6" spans="2:46" ht="49.5" x14ac:dyDescent="0.25">
      <c r="B6" s="365"/>
      <c r="C6" s="401"/>
      <c r="D6" s="354"/>
      <c r="E6" s="354"/>
      <c r="F6" s="354"/>
      <c r="G6" s="354"/>
      <c r="H6" s="354"/>
      <c r="I6" s="354"/>
      <c r="J6" s="354"/>
      <c r="K6" s="354"/>
      <c r="L6" s="187" t="s">
        <v>76</v>
      </c>
      <c r="M6" s="188" t="s">
        <v>332</v>
      </c>
      <c r="N6" s="188"/>
      <c r="O6" s="188" t="str">
        <f>'Strategic level'!G61</f>
        <v>Կին գործատուների թվաքանակի հարաբերությունը գործատուների ընդհանուր թվաքանակին</v>
      </c>
      <c r="P6" s="147">
        <f>IF(ISBLANK('Strategic level'!H61)," ",'Strategic level'!H61)</f>
        <v>0.14444444444444446</v>
      </c>
      <c r="Q6" s="147">
        <f>IF(ISBLANK('Strategic level'!I61)," ",'Strategic level'!I61)</f>
        <v>0.14556962025316453</v>
      </c>
      <c r="R6" s="147">
        <f>IF(ISBLANK('Strategic level'!J61)," ",'Strategic level'!J61)</f>
        <v>0.24087591240875914</v>
      </c>
      <c r="S6" s="147">
        <f>IF(ISBLANK('Strategic level'!K61)," ",'Strategic level'!K61)</f>
        <v>0.21088435374149661</v>
      </c>
      <c r="T6" s="147">
        <f>IF(ISBLANK('Strategic level'!L61)," ",'Strategic level'!L61)</f>
        <v>0.23923544843145952</v>
      </c>
      <c r="U6" s="147">
        <f>IF(ISBLANK('Strategic level'!M61)," ",'Strategic level'!M61)</f>
        <v>0.26093999696551101</v>
      </c>
      <c r="V6" s="147">
        <f>+(U6+W6)/2</f>
        <v>0.27308089118237855</v>
      </c>
      <c r="W6" s="147">
        <f>IF(ISBLANK('Strategic level'!O61)," ",'Strategic level'!O61)</f>
        <v>0.28522178539924603</v>
      </c>
      <c r="X6" s="147">
        <f>IF(ISBLANK('Strategic level'!P61)," ",'Strategic level'!P61)</f>
        <v>0.30899026751584979</v>
      </c>
      <c r="Y6" s="147">
        <f>IF(ISBLANK('Strategic level'!Q61)," ",'Strategic level'!Q61)</f>
        <v>0.3318784354799868</v>
      </c>
      <c r="Z6" s="147">
        <f>IF(ISBLANK('Strategic level'!R61)," ",'Strategic level'!R61)</f>
        <v>0.35338907481665255</v>
      </c>
      <c r="AA6" s="147">
        <f>IF(ISBLANK('Strategic level'!S61)," ",'Strategic level'!S61)</f>
        <v>0.3730218011953555</v>
      </c>
      <c r="AB6" s="147">
        <f>IF(ISBLANK('Strategic level'!T61)," ",'Strategic level'!T61)</f>
        <v>0.38683742346185013</v>
      </c>
      <c r="AC6" s="147">
        <f>IF(ISBLANK('Strategic level'!U61)," ",'Strategic level'!U61)</f>
        <v>0.39400107945188434</v>
      </c>
      <c r="AD6" s="450"/>
      <c r="AE6" s="450"/>
      <c r="AF6" s="450"/>
      <c r="AG6" s="450"/>
      <c r="AH6" s="450"/>
      <c r="AI6" s="450"/>
      <c r="AJ6" s="450"/>
      <c r="AK6" s="450"/>
      <c r="AL6" s="452"/>
      <c r="AP6" s="300"/>
      <c r="AQ6" s="300"/>
      <c r="AR6" s="300"/>
      <c r="AS6" s="300"/>
      <c r="AT6" s="300"/>
    </row>
    <row r="7" spans="2:46" ht="82.5" x14ac:dyDescent="0.25">
      <c r="B7" s="365"/>
      <c r="C7" s="401"/>
      <c r="D7" s="354"/>
      <c r="E7" s="354"/>
      <c r="F7" s="354"/>
      <c r="G7" s="354"/>
      <c r="H7" s="354"/>
      <c r="I7" s="354"/>
      <c r="J7" s="354"/>
      <c r="K7" s="354"/>
      <c r="L7" s="187" t="s">
        <v>163</v>
      </c>
      <c r="M7" s="188" t="s">
        <v>242</v>
      </c>
      <c r="N7" s="188" t="str">
        <f>'Strategic level'!F64</f>
        <v>Աշխատանքի շուկան Հայաստանում, Արմստատ</v>
      </c>
      <c r="O7" s="188" t="str">
        <f>'Strategic level'!G64</f>
        <v>Տղամարդ և կին զբաղվածների (վարձու և ոչ վարձու աշխատող) միջին ամսական զուտ աշխատավարձների/եկամուտների տոկոսային տարբերությունը (ՀՀ բնակչություն, 15-74 տարեկան)</v>
      </c>
      <c r="P7" s="147">
        <f>IF(ISBLANK('Strategic level'!H64)," ",'Strategic level'!H64)</f>
        <v>0.54574120925457414</v>
      </c>
      <c r="Q7" s="147">
        <f>IF(ISBLANK('Strategic level'!I64)," ",'Strategic level'!I64)</f>
        <v>0.53245912478133306</v>
      </c>
      <c r="R7" s="147">
        <f>IF(ISBLANK('Strategic level'!J64)," ",'Strategic level'!J64)</f>
        <v>0.5403244048807101</v>
      </c>
      <c r="S7" s="147">
        <f>IF(ISBLANK('Strategic level'!K64)," ",'Strategic level'!K64)</f>
        <v>0.54989747306732095</v>
      </c>
      <c r="T7" s="147">
        <f>IF(ISBLANK('Strategic level'!L64)," ",'Strategic level'!L64)</f>
        <v>0.64428903392223802</v>
      </c>
      <c r="U7" s="147">
        <f>IF(ISBLANK('Strategic level'!M64)," ",'Strategic level'!M64)</f>
        <v>0.61348348171042932</v>
      </c>
      <c r="V7" s="147">
        <f>+(U7+W7)/2</f>
        <v>0.59582917801654156</v>
      </c>
      <c r="W7" s="147">
        <f>IF(ISBLANK('Strategic level'!O64)," ",'Strategic level'!O64)</f>
        <v>0.5781748743226538</v>
      </c>
      <c r="X7" s="147">
        <f>IF(ISBLANK('Strategic level'!P64)," ",'Strategic level'!P64)</f>
        <v>0.54456457771335631</v>
      </c>
      <c r="Y7" s="147">
        <f>IF(ISBLANK('Strategic level'!Q64)," ",'Strategic level'!Q64)</f>
        <v>0.5229610462847174</v>
      </c>
      <c r="Z7" s="147">
        <f>IF(ISBLANK('Strategic level'!R64)," ",'Strategic level'!R64)</f>
        <v>0.50287825909216166</v>
      </c>
      <c r="AA7" s="147">
        <f>IF(ISBLANK('Strategic level'!S64)," ",'Strategic level'!S64)</f>
        <v>0.48426476098559301</v>
      </c>
      <c r="AB7" s="147">
        <f>IF(ISBLANK('Strategic level'!T64)," ",'Strategic level'!T64)</f>
        <v>0.46826669415094146</v>
      </c>
      <c r="AC7" s="147">
        <f>IF(ISBLANK('Strategic level'!U64)," ",'Strategic level'!U64)</f>
        <v>0.45480794389057833</v>
      </c>
      <c r="AD7" s="450"/>
      <c r="AE7" s="450"/>
      <c r="AF7" s="450"/>
      <c r="AG7" s="450"/>
      <c r="AH7" s="450"/>
      <c r="AI7" s="450"/>
      <c r="AJ7" s="450"/>
      <c r="AK7" s="450"/>
      <c r="AL7" s="452"/>
      <c r="AP7" s="300"/>
      <c r="AQ7" s="300"/>
      <c r="AR7" s="300"/>
      <c r="AS7" s="300"/>
      <c r="AT7" s="300"/>
    </row>
    <row r="8" spans="2:46" x14ac:dyDescent="0.25">
      <c r="B8" s="128" t="s">
        <v>508</v>
      </c>
      <c r="C8" s="129" t="s">
        <v>509</v>
      </c>
      <c r="D8" s="129"/>
      <c r="E8" s="129"/>
      <c r="F8" s="129"/>
      <c r="G8" s="129"/>
      <c r="H8" s="129"/>
      <c r="I8" s="129"/>
      <c r="J8" s="129"/>
      <c r="K8" s="129"/>
      <c r="L8" s="128"/>
      <c r="M8" s="129"/>
      <c r="N8" s="129"/>
      <c r="O8" s="129"/>
      <c r="P8" s="129"/>
      <c r="Q8" s="129"/>
      <c r="R8" s="129"/>
      <c r="S8" s="129"/>
      <c r="T8" s="129"/>
      <c r="U8" s="129"/>
      <c r="V8" s="129"/>
      <c r="W8" s="129"/>
      <c r="X8" s="129"/>
      <c r="Y8" s="129"/>
      <c r="Z8" s="129"/>
      <c r="AA8" s="129"/>
      <c r="AB8" s="129"/>
      <c r="AC8" s="129"/>
      <c r="AD8" s="261">
        <f>AD9+AD12</f>
        <v>20000</v>
      </c>
      <c r="AE8" s="261">
        <f t="shared" ref="AE8:AK8" si="4">AE9+AE12</f>
        <v>1080000</v>
      </c>
      <c r="AF8" s="261">
        <f t="shared" si="4"/>
        <v>458000</v>
      </c>
      <c r="AG8" s="261">
        <f t="shared" si="4"/>
        <v>511000</v>
      </c>
      <c r="AH8" s="261">
        <f t="shared" si="4"/>
        <v>563000</v>
      </c>
      <c r="AI8" s="261">
        <f t="shared" si="4"/>
        <v>614000</v>
      </c>
      <c r="AJ8" s="261">
        <f t="shared" si="4"/>
        <v>668000</v>
      </c>
      <c r="AK8" s="261">
        <f t="shared" si="4"/>
        <v>3914000</v>
      </c>
      <c r="AL8" s="262"/>
    </row>
    <row r="9" spans="2:46" ht="82.5" x14ac:dyDescent="0.25">
      <c r="B9" s="187" t="s">
        <v>510</v>
      </c>
      <c r="C9" s="90" t="s">
        <v>511</v>
      </c>
      <c r="D9" s="115"/>
      <c r="E9" s="115"/>
      <c r="F9" s="115"/>
      <c r="G9" s="115"/>
      <c r="H9" s="115"/>
      <c r="I9" s="115"/>
      <c r="J9" s="115"/>
      <c r="K9" s="115"/>
      <c r="L9" s="114" t="s">
        <v>512</v>
      </c>
      <c r="M9" s="130" t="s">
        <v>1161</v>
      </c>
      <c r="N9" s="131"/>
      <c r="O9" s="131"/>
      <c r="P9" s="165" t="s">
        <v>203</v>
      </c>
      <c r="Q9" s="165" t="s">
        <v>203</v>
      </c>
      <c r="R9" s="165" t="s">
        <v>203</v>
      </c>
      <c r="S9" s="165" t="s">
        <v>203</v>
      </c>
      <c r="T9" s="165" t="s">
        <v>203</v>
      </c>
      <c r="U9" s="127"/>
      <c r="V9" s="127"/>
      <c r="W9" s="127"/>
      <c r="X9" s="127">
        <f>(X10+X11)/(('Strategic level'!P59+'Strategic level'!P60)*1000)</f>
        <v>5.6405285582493282E-2</v>
      </c>
      <c r="Y9" s="127">
        <f>(Y10+Y11)/(('Strategic level'!Q59+'Strategic level'!Q60)*1000)</f>
        <v>3.8755389901597721E-2</v>
      </c>
      <c r="Z9" s="127">
        <f>(Z10+Z11)/(('Strategic level'!R59+'Strategic level'!R60)*1000)</f>
        <v>4.200353630933408E-2</v>
      </c>
      <c r="AA9" s="127">
        <f>(AA10+AA11)/(('Strategic level'!S59+'Strategic level'!S60)*1000)</f>
        <v>4.6057365976397716E-2</v>
      </c>
      <c r="AB9" s="127">
        <f>(AB10+AB11)/(('Strategic level'!T59+'Strategic level'!T60)*1000)</f>
        <v>5.0287634916621193E-2</v>
      </c>
      <c r="AC9" s="127">
        <f>(AC10+AC11)/(('Strategic level'!U59+'Strategic level'!U60)*1000)</f>
        <v>5.4700631450120593E-2</v>
      </c>
      <c r="AD9" s="132">
        <f>AD10+AD11</f>
        <v>0</v>
      </c>
      <c r="AE9" s="132">
        <f t="shared" ref="AE9:AJ9" si="5">AE10+AE11</f>
        <v>179000</v>
      </c>
      <c r="AF9" s="132">
        <f t="shared" si="5"/>
        <v>77000</v>
      </c>
      <c r="AG9" s="132">
        <f t="shared" si="5"/>
        <v>84000</v>
      </c>
      <c r="AH9" s="132">
        <f t="shared" si="5"/>
        <v>92000</v>
      </c>
      <c r="AI9" s="132">
        <f t="shared" si="5"/>
        <v>99000</v>
      </c>
      <c r="AJ9" s="132">
        <f t="shared" si="5"/>
        <v>108000</v>
      </c>
      <c r="AK9" s="132">
        <f>AK10+AK11</f>
        <v>639000</v>
      </c>
      <c r="AL9" s="186"/>
    </row>
    <row r="10" spans="2:46" ht="346.5" x14ac:dyDescent="0.25">
      <c r="B10" s="184" t="s">
        <v>513</v>
      </c>
      <c r="C10" s="126" t="s">
        <v>1006</v>
      </c>
      <c r="D10" s="64" t="s">
        <v>736</v>
      </c>
      <c r="E10" s="126"/>
      <c r="F10" s="133"/>
      <c r="G10" s="133"/>
      <c r="H10" s="133"/>
      <c r="I10" s="133"/>
      <c r="J10" s="133"/>
      <c r="K10" s="133"/>
      <c r="L10" s="117" t="s">
        <v>514</v>
      </c>
      <c r="M10" s="130" t="s">
        <v>1162</v>
      </c>
      <c r="N10" s="130"/>
      <c r="O10" s="130"/>
      <c r="P10" s="165" t="s">
        <v>203</v>
      </c>
      <c r="Q10" s="165" t="s">
        <v>203</v>
      </c>
      <c r="R10" s="165" t="s">
        <v>203</v>
      </c>
      <c r="S10" s="165" t="s">
        <v>203</v>
      </c>
      <c r="T10" s="165" t="s">
        <v>203</v>
      </c>
      <c r="U10" s="134"/>
      <c r="V10" s="134"/>
      <c r="W10" s="134"/>
      <c r="X10" s="135">
        <f>ROUND(('Strategic level'!O59-'Strategic level'!P59+'Strategic level'!O60-'Strategic level'!P60)*1000*'Strategic level'!O53,-1)</f>
        <v>910</v>
      </c>
      <c r="Y10" s="135">
        <f>ROUND(('Strategic level'!P59-'Strategic level'!Q59+'Strategic level'!P60-'Strategic level'!Q60)*1000*'Strategic level'!P53*('Strategic level'!Q57+'Strategic level'!Q58)/('Strategic level'!$P$57+'Strategic level'!$P$58),-1)</f>
        <v>350</v>
      </c>
      <c r="Z10" s="135">
        <f>ROUND(('Strategic level'!Q59-'Strategic level'!R59+'Strategic level'!Q60-'Strategic level'!R60)*1000*'Strategic level'!Q53*('Strategic level'!R57+'Strategic level'!R58)/('Strategic level'!$P$57+'Strategic level'!$P$58),-1)</f>
        <v>360</v>
      </c>
      <c r="AA10" s="135">
        <f>ROUND(('Strategic level'!R59-'Strategic level'!S59+'Strategic level'!R60-'Strategic level'!S60)*1000*'Strategic level'!R53*('Strategic level'!S57+'Strategic level'!S58)/('Strategic level'!$P$57+'Strategic level'!$P$58),-1)</f>
        <v>380</v>
      </c>
      <c r="AB10" s="135">
        <f>ROUND(('Strategic level'!S59-'Strategic level'!T59+'Strategic level'!S60-'Strategic level'!T60)*1000*'Strategic level'!S53*('Strategic level'!T57+'Strategic level'!T58)/('Strategic level'!$P$57+'Strategic level'!$P$58),-1)</f>
        <v>390</v>
      </c>
      <c r="AC10" s="135">
        <f>ROUND(('Strategic level'!T59-'Strategic level'!U59+'Strategic level'!T60-'Strategic level'!U60)*1000*'Strategic level'!T53*('Strategic level'!U57+'Strategic level'!U58)/('Strategic level'!$P$57+'Strategic level'!$P$58),-1)</f>
        <v>400</v>
      </c>
      <c r="AD10" s="136"/>
      <c r="AE10" s="135">
        <f>ROUND(X10*Variables!M3*3*1.04^1,-3)</f>
        <v>170000</v>
      </c>
      <c r="AF10" s="135">
        <f>ROUND(Y10*Variables!M3*3*1.04^2,-3)</f>
        <v>68000</v>
      </c>
      <c r="AG10" s="135">
        <f>ROUND(Z10*Variables!M3*3*1.04^3,-3)</f>
        <v>73000</v>
      </c>
      <c r="AH10" s="135">
        <f>ROUND(AA10*Variables!M3*3*1.04^4,-3)</f>
        <v>80000</v>
      </c>
      <c r="AI10" s="135">
        <f>ROUND(AB10*Variables!M3*3*1.04^5,-3)</f>
        <v>85000</v>
      </c>
      <c r="AJ10" s="135">
        <f>ROUND(AC10*Variables!M3*3*1.04^6,-3)</f>
        <v>91000</v>
      </c>
      <c r="AK10" s="135">
        <f>SUM(AD10:AJ10)</f>
        <v>567000</v>
      </c>
      <c r="AL10" s="130" t="s">
        <v>723</v>
      </c>
      <c r="AP10" s="226">
        <f>ROUND(AJ10*1.04,-3)</f>
        <v>95000</v>
      </c>
      <c r="AQ10" s="226">
        <f>ROUND(AP10*1.04,-3)</f>
        <v>99000</v>
      </c>
      <c r="AR10" s="226">
        <f t="shared" ref="AR10:AT10" si="6">ROUND(AQ10*1.04,-3)</f>
        <v>103000</v>
      </c>
      <c r="AS10" s="226">
        <f t="shared" si="6"/>
        <v>107000</v>
      </c>
      <c r="AT10" s="226">
        <f t="shared" si="6"/>
        <v>111000</v>
      </c>
    </row>
    <row r="11" spans="2:46" ht="409.5" x14ac:dyDescent="0.25">
      <c r="B11" s="184" t="s">
        <v>515</v>
      </c>
      <c r="C11" s="126" t="s">
        <v>1007</v>
      </c>
      <c r="D11" s="64" t="s">
        <v>736</v>
      </c>
      <c r="E11" s="126"/>
      <c r="F11" s="133"/>
      <c r="G11" s="133"/>
      <c r="H11" s="133"/>
      <c r="I11" s="133"/>
      <c r="J11" s="133"/>
      <c r="K11" s="133"/>
      <c r="L11" s="184" t="s">
        <v>516</v>
      </c>
      <c r="M11" s="130" t="s">
        <v>1162</v>
      </c>
      <c r="N11" s="130"/>
      <c r="O11" s="130"/>
      <c r="P11" s="165" t="s">
        <v>203</v>
      </c>
      <c r="Q11" s="165" t="s">
        <v>203</v>
      </c>
      <c r="R11" s="165" t="s">
        <v>203</v>
      </c>
      <c r="S11" s="165" t="s">
        <v>203</v>
      </c>
      <c r="T11" s="165" t="s">
        <v>203</v>
      </c>
      <c r="U11" s="134"/>
      <c r="V11" s="134"/>
      <c r="W11" s="134"/>
      <c r="X11" s="135">
        <f>ROUND(('Strategic level'!O59-'Strategic level'!P59+'Strategic level'!O60-'Strategic level'!P60)*1000*'Strategic level'!O53,-1)</f>
        <v>910</v>
      </c>
      <c r="Y11" s="135">
        <f>ROUND(('Strategic level'!P59-'Strategic level'!Q59+'Strategic level'!P60-'Strategic level'!Q60)*1000*'Strategic level'!Q66/'Strategic level'!$P$66,-1)</f>
        <v>870</v>
      </c>
      <c r="Z11" s="135">
        <f>ROUND(('Strategic level'!Q59-'Strategic level'!R59+'Strategic level'!Q60-'Strategic level'!R60)*1000*'Strategic level'!R66/'Strategic level'!$P$66,-1)</f>
        <v>930</v>
      </c>
      <c r="AA11" s="135">
        <f>ROUND(('Strategic level'!R59-'Strategic level'!S59+'Strategic level'!R60-'Strategic level'!S60)*1000*'Strategic level'!S66/'Strategic level'!$P$66,-1)</f>
        <v>1000</v>
      </c>
      <c r="AB11" s="135">
        <f>ROUND(('Strategic level'!S59-'Strategic level'!T59+'Strategic level'!S60-'Strategic level'!T60)*1000*'Strategic level'!T66/'Strategic level'!$P$66,-1)</f>
        <v>1080</v>
      </c>
      <c r="AC11" s="135">
        <f>ROUND(('Strategic level'!T59-'Strategic level'!U59+'Strategic level'!T60-'Strategic level'!U60)*1000*'Strategic level'!U66/'Strategic level'!$P$66,-1)</f>
        <v>1160</v>
      </c>
      <c r="AD11" s="136"/>
      <c r="AE11" s="135">
        <f>ROUND((X11*50%)/50*Variables!M4*12*1.08^1*0.15,-3)</f>
        <v>9000</v>
      </c>
      <c r="AF11" s="135">
        <f>ROUND((Y11*50%)/50*Variables!M4*12*1.08^2*0.15,-3)</f>
        <v>9000</v>
      </c>
      <c r="AG11" s="135">
        <f>ROUND((Z11*50%)/50*Variables!M4*12*1.08^3*0.15,-3)</f>
        <v>11000</v>
      </c>
      <c r="AH11" s="135">
        <f>ROUND((AA11*50%)/50*Variables!M4*12*1.08^4*0.15,-3)</f>
        <v>12000</v>
      </c>
      <c r="AI11" s="135">
        <f>ROUND((AB11*50%)/50*Variables!M4*12*1.08^5*0.15,-3)</f>
        <v>14000</v>
      </c>
      <c r="AJ11" s="135">
        <f>ROUND((AC11*50%)/50*Variables!M4*12*1.08^6*0.15,-3)</f>
        <v>17000</v>
      </c>
      <c r="AK11" s="135">
        <f>SUM(AD11:AJ11)</f>
        <v>72000</v>
      </c>
      <c r="AL11" s="250" t="s">
        <v>1163</v>
      </c>
    </row>
    <row r="12" spans="2:46" ht="82.5" x14ac:dyDescent="0.25">
      <c r="B12" s="365" t="s">
        <v>517</v>
      </c>
      <c r="C12" s="401" t="s">
        <v>975</v>
      </c>
      <c r="D12" s="451"/>
      <c r="E12" s="451"/>
      <c r="F12" s="451"/>
      <c r="G12" s="451"/>
      <c r="H12" s="451"/>
      <c r="I12" s="451"/>
      <c r="J12" s="451"/>
      <c r="K12" s="451"/>
      <c r="L12" s="114" t="s">
        <v>518</v>
      </c>
      <c r="M12" s="201" t="s">
        <v>1020</v>
      </c>
      <c r="N12" s="201"/>
      <c r="O12" s="201"/>
      <c r="P12" s="140" t="s">
        <v>203</v>
      </c>
      <c r="Q12" s="140" t="s">
        <v>203</v>
      </c>
      <c r="R12" s="140" t="s">
        <v>203</v>
      </c>
      <c r="S12" s="140" t="s">
        <v>203</v>
      </c>
      <c r="T12" s="140" t="s">
        <v>203</v>
      </c>
      <c r="U12" s="127"/>
      <c r="V12" s="127"/>
      <c r="W12" s="127"/>
      <c r="X12" s="127">
        <f>X15/(0.5*('Strategic level'!P59+'Strategic level'!P60)*1000)</f>
        <v>0.13140572025811623</v>
      </c>
      <c r="Y12" s="127">
        <f>Y15/(0.4*('Strategic level'!Q59+'Strategic level'!Q60)*1000)</f>
        <v>6.273925824234057E-2</v>
      </c>
      <c r="Z12" s="127">
        <f>Z15/(0.3*('Strategic level'!R59+'Strategic level'!R60)*1000)</f>
        <v>8.357292754053551E-2</v>
      </c>
      <c r="AA12" s="127">
        <f>AA15/(0.25*('Strategic level'!S59+'Strategic level'!S60)*1000)</f>
        <v>0.10012470864434286</v>
      </c>
      <c r="AB12" s="127">
        <f>AB15/(0.2*('Strategic level'!T59+'Strategic level'!T60)*1000)</f>
        <v>0.12486385540521588</v>
      </c>
      <c r="AC12" s="127">
        <f>AC15/(0.15*('Strategic level'!U59+'Strategic level'!U60)*1000)</f>
        <v>0.16597200140848556</v>
      </c>
      <c r="AD12" s="450">
        <f>AD15+AD16+AD17</f>
        <v>20000</v>
      </c>
      <c r="AE12" s="450">
        <f t="shared" ref="AE12:AK12" si="7">AE15+AE16+AE17</f>
        <v>901000</v>
      </c>
      <c r="AF12" s="450">
        <f t="shared" si="7"/>
        <v>381000</v>
      </c>
      <c r="AG12" s="450">
        <f t="shared" si="7"/>
        <v>427000</v>
      </c>
      <c r="AH12" s="450">
        <f t="shared" si="7"/>
        <v>471000</v>
      </c>
      <c r="AI12" s="450">
        <f t="shared" si="7"/>
        <v>515000</v>
      </c>
      <c r="AJ12" s="450">
        <f t="shared" si="7"/>
        <v>560000</v>
      </c>
      <c r="AK12" s="450">
        <f t="shared" si="7"/>
        <v>3275000</v>
      </c>
      <c r="AL12" s="452"/>
    </row>
    <row r="13" spans="2:46" ht="82.5" x14ac:dyDescent="0.25">
      <c r="B13" s="365"/>
      <c r="C13" s="401"/>
      <c r="D13" s="451"/>
      <c r="E13" s="451"/>
      <c r="F13" s="451"/>
      <c r="G13" s="451"/>
      <c r="H13" s="451"/>
      <c r="I13" s="451"/>
      <c r="J13" s="451"/>
      <c r="K13" s="451"/>
      <c r="L13" s="114" t="s">
        <v>519</v>
      </c>
      <c r="M13" s="201" t="s">
        <v>1021</v>
      </c>
      <c r="N13" s="201"/>
      <c r="O13" s="201"/>
      <c r="P13" s="140" t="s">
        <v>203</v>
      </c>
      <c r="Q13" s="140" t="s">
        <v>203</v>
      </c>
      <c r="R13" s="140" t="s">
        <v>203</v>
      </c>
      <c r="S13" s="140" t="s">
        <v>203</v>
      </c>
      <c r="T13" s="140" t="s">
        <v>203</v>
      </c>
      <c r="U13" s="127"/>
      <c r="V13" s="127"/>
      <c r="W13" s="127"/>
      <c r="X13" s="137">
        <f>X15/(('Strategic level'!P59+'Strategic level'!P60)*1000)</f>
        <v>6.5702860129058113E-2</v>
      </c>
      <c r="Y13" s="137">
        <f>Y15/(('Strategic level'!Q59+'Strategic level'!Q60)*1000)</f>
        <v>2.509570329693623E-2</v>
      </c>
      <c r="Z13" s="137">
        <f>Z15/(('Strategic level'!R59+'Strategic level'!R60)*1000)</f>
        <v>2.5071878262160653E-2</v>
      </c>
      <c r="AA13" s="137">
        <f>AA15/(('Strategic level'!S59+'Strategic level'!S60)*1000)</f>
        <v>2.5031177161085716E-2</v>
      </c>
      <c r="AB13" s="137">
        <f>AB15/(('Strategic level'!T59+'Strategic level'!T60)*1000)</f>
        <v>2.4972771081043177E-2</v>
      </c>
      <c r="AC13" s="137">
        <f>AC15/(('Strategic level'!U59+'Strategic level'!U60)*1000)</f>
        <v>2.4895800211272832E-2</v>
      </c>
      <c r="AD13" s="450"/>
      <c r="AE13" s="450"/>
      <c r="AF13" s="450"/>
      <c r="AG13" s="450"/>
      <c r="AH13" s="450"/>
      <c r="AI13" s="450"/>
      <c r="AJ13" s="450"/>
      <c r="AK13" s="450"/>
      <c r="AL13" s="452"/>
    </row>
    <row r="14" spans="2:46" ht="82.5" x14ac:dyDescent="0.25">
      <c r="B14" s="365"/>
      <c r="C14" s="401"/>
      <c r="D14" s="451"/>
      <c r="E14" s="451"/>
      <c r="F14" s="451"/>
      <c r="G14" s="451"/>
      <c r="H14" s="451"/>
      <c r="I14" s="451"/>
      <c r="J14" s="451"/>
      <c r="K14" s="451"/>
      <c r="L14" s="114" t="s">
        <v>520</v>
      </c>
      <c r="M14" s="201" t="s">
        <v>162</v>
      </c>
      <c r="N14" s="201"/>
      <c r="O14" s="201"/>
      <c r="P14" s="140" t="s">
        <v>203</v>
      </c>
      <c r="Q14" s="140" t="s">
        <v>203</v>
      </c>
      <c r="R14" s="140" t="s">
        <v>203</v>
      </c>
      <c r="S14" s="140" t="s">
        <v>203</v>
      </c>
      <c r="T14" s="140" t="s">
        <v>203</v>
      </c>
      <c r="U14" s="127"/>
      <c r="V14" s="127"/>
      <c r="W14" s="127"/>
      <c r="X14" s="127">
        <f>'Strategic level'!P66/('Strategic level'!$O$66*1.08^0)</f>
        <v>1.1120660835108938</v>
      </c>
      <c r="Y14" s="127">
        <f>'Strategic level'!Q66/('Strategic level'!$O$66*1.08^1)</f>
        <v>1.1365947796314639</v>
      </c>
      <c r="Z14" s="127">
        <f>'Strategic level'!R66/('Strategic level'!$O$66*1.08^2)</f>
        <v>1.160722588818796</v>
      </c>
      <c r="AA14" s="127">
        <f>'Strategic level'!S66/('Strategic level'!$O$66*1.08^3)</f>
        <v>1.1844006786061145</v>
      </c>
      <c r="AB14" s="127">
        <f>'Strategic level'!T66/('Strategic level'!$O$66*1.08^4)</f>
        <v>1.2065987268614196</v>
      </c>
      <c r="AC14" s="127">
        <f>'Strategic level'!U66/('Strategic level'!$O$66*1.08^5)</f>
        <v>1.227212958142853</v>
      </c>
      <c r="AD14" s="450"/>
      <c r="AE14" s="450"/>
      <c r="AF14" s="450"/>
      <c r="AG14" s="450"/>
      <c r="AH14" s="450"/>
      <c r="AI14" s="450"/>
      <c r="AJ14" s="450"/>
      <c r="AK14" s="450"/>
      <c r="AL14" s="452"/>
    </row>
    <row r="15" spans="2:46" ht="181.5" x14ac:dyDescent="0.25">
      <c r="B15" s="184" t="s">
        <v>521</v>
      </c>
      <c r="C15" s="185" t="s">
        <v>1022</v>
      </c>
      <c r="D15" s="64" t="s">
        <v>736</v>
      </c>
      <c r="E15" s="185"/>
      <c r="F15" s="138"/>
      <c r="G15" s="138"/>
      <c r="H15" s="138"/>
      <c r="I15" s="138"/>
      <c r="J15" s="138"/>
      <c r="K15" s="138"/>
      <c r="L15" s="184" t="s">
        <v>522</v>
      </c>
      <c r="M15" s="130" t="s">
        <v>1023</v>
      </c>
      <c r="N15" s="130"/>
      <c r="O15" s="130"/>
      <c r="P15" s="165" t="s">
        <v>203</v>
      </c>
      <c r="Q15" s="165" t="s">
        <v>203</v>
      </c>
      <c r="R15" s="165" t="s">
        <v>203</v>
      </c>
      <c r="S15" s="165" t="s">
        <v>203</v>
      </c>
      <c r="T15" s="165" t="s">
        <v>203</v>
      </c>
      <c r="U15" s="134"/>
      <c r="V15" s="134"/>
      <c r="W15" s="134"/>
      <c r="X15" s="135">
        <f>ROUND(('Strategic level'!O59-'Strategic level'!P59+'Strategic level'!O60-'Strategic level'!P60)*1000,-1)</f>
        <v>2120</v>
      </c>
      <c r="Y15" s="135">
        <f>ROUND(('Strategic level'!P59-'Strategic level'!Q59+'Strategic level'!P60-'Strategic level'!Q60)*1000,-1)</f>
        <v>790</v>
      </c>
      <c r="Z15" s="135">
        <f>ROUND(('Strategic level'!Q59-'Strategic level'!R59+'Strategic level'!Q60-'Strategic level'!R60)*1000,-1)</f>
        <v>770</v>
      </c>
      <c r="AA15" s="135">
        <f>ROUND(('Strategic level'!R59-'Strategic level'!S59+'Strategic level'!R60-'Strategic level'!S60)*1000,-1)</f>
        <v>750</v>
      </c>
      <c r="AB15" s="135">
        <f>ROUND(('Strategic level'!S59-'Strategic level'!T59+'Strategic level'!S60-'Strategic level'!T60)*1000,-1)</f>
        <v>730</v>
      </c>
      <c r="AC15" s="135">
        <f>ROUND(('Strategic level'!T59-'Strategic level'!U59+'Strategic level'!T60-'Strategic level'!U60)*1000,-1)</f>
        <v>710</v>
      </c>
      <c r="AD15" s="136"/>
      <c r="AE15" s="135">
        <f>ROUND(X15*Variables!M5*1.04^1,-3)</f>
        <v>661000</v>
      </c>
      <c r="AF15" s="135">
        <f>ROUND(Y15*Variables!M5*1.04^2,-3)</f>
        <v>256000</v>
      </c>
      <c r="AG15" s="135">
        <f>ROUND(Z15*Variables!M5*1.04^3,-3)</f>
        <v>260000</v>
      </c>
      <c r="AH15" s="135">
        <f>ROUND(AA15*Variables!M5*1.04^4,-3)</f>
        <v>263000</v>
      </c>
      <c r="AI15" s="135">
        <f>ROUND(AB15*Variables!M5*1.04^5,-3)</f>
        <v>266000</v>
      </c>
      <c r="AJ15" s="135">
        <f>ROUND(AC15*Variables!M5*1.04^6,-3)</f>
        <v>270000</v>
      </c>
      <c r="AK15" s="135">
        <f>SUM(AD15:AJ15)</f>
        <v>1976000</v>
      </c>
      <c r="AL15" s="130" t="s">
        <v>1024</v>
      </c>
      <c r="AP15" s="226">
        <f>ROUND(AJ15*1.04,-3)</f>
        <v>281000</v>
      </c>
      <c r="AQ15" s="226">
        <f>ROUND(AP15*1.04,-3)</f>
        <v>292000</v>
      </c>
      <c r="AR15" s="226">
        <f t="shared" ref="AR15:AT16" si="8">ROUND(AQ15*1.04,-3)</f>
        <v>304000</v>
      </c>
      <c r="AS15" s="226">
        <f t="shared" si="8"/>
        <v>316000</v>
      </c>
      <c r="AT15" s="226">
        <f t="shared" si="8"/>
        <v>329000</v>
      </c>
    </row>
    <row r="16" spans="2:46" ht="198" x14ac:dyDescent="0.25">
      <c r="B16" s="184" t="s">
        <v>523</v>
      </c>
      <c r="C16" s="126" t="s">
        <v>1048</v>
      </c>
      <c r="D16" s="64" t="s">
        <v>1042</v>
      </c>
      <c r="E16" s="126"/>
      <c r="F16" s="133"/>
      <c r="G16" s="133"/>
      <c r="H16" s="133"/>
      <c r="I16" s="133"/>
      <c r="J16" s="133"/>
      <c r="K16" s="133"/>
      <c r="L16" s="184" t="s">
        <v>524</v>
      </c>
      <c r="M16" s="130" t="s">
        <v>1074</v>
      </c>
      <c r="N16" s="130"/>
      <c r="O16" s="130"/>
      <c r="P16" s="165" t="s">
        <v>203</v>
      </c>
      <c r="Q16" s="165" t="s">
        <v>203</v>
      </c>
      <c r="R16" s="165" t="s">
        <v>203</v>
      </c>
      <c r="S16" s="165" t="s">
        <v>203</v>
      </c>
      <c r="T16" s="165" t="s">
        <v>203</v>
      </c>
      <c r="U16" s="134"/>
      <c r="V16" s="134"/>
      <c r="W16" s="134"/>
      <c r="X16" s="135">
        <f>X15</f>
        <v>2120</v>
      </c>
      <c r="Y16" s="135">
        <f t="shared" ref="Y16:AC16" si="9">Y15</f>
        <v>790</v>
      </c>
      <c r="Z16" s="135">
        <f t="shared" si="9"/>
        <v>770</v>
      </c>
      <c r="AA16" s="135">
        <f t="shared" si="9"/>
        <v>750</v>
      </c>
      <c r="AB16" s="135">
        <f t="shared" si="9"/>
        <v>730</v>
      </c>
      <c r="AC16" s="135">
        <f t="shared" si="9"/>
        <v>710</v>
      </c>
      <c r="AD16" s="136"/>
      <c r="AE16" s="135">
        <f>ROUND(X16*Variables!M6*1.04^1,-3)</f>
        <v>220000</v>
      </c>
      <c r="AF16" s="135">
        <f>ROUND(Y16*Variables!M6*1.04^2,-3)</f>
        <v>85000</v>
      </c>
      <c r="AG16" s="135">
        <f>ROUND(Z16*Variables!M6*1.04^3,-3)</f>
        <v>87000</v>
      </c>
      <c r="AH16" s="135">
        <f>ROUND(AA16*Variables!M6*1.04^4,-3)</f>
        <v>88000</v>
      </c>
      <c r="AI16" s="135">
        <f>ROUND(AB16*Variables!M6*1.04^5,-3)</f>
        <v>89000</v>
      </c>
      <c r="AJ16" s="135">
        <f>ROUND(AC16*Variables!M6*1.04^6,-3)</f>
        <v>90000</v>
      </c>
      <c r="AK16" s="135">
        <f>SUM(AD16:AJ16)</f>
        <v>659000</v>
      </c>
      <c r="AL16" s="130" t="s">
        <v>724</v>
      </c>
      <c r="AP16" s="226">
        <f>ROUND(AJ16*1.04,-3)</f>
        <v>94000</v>
      </c>
      <c r="AQ16" s="226">
        <f>ROUND(AP16*1.04,-3)</f>
        <v>98000</v>
      </c>
      <c r="AR16" s="226">
        <f t="shared" si="8"/>
        <v>102000</v>
      </c>
      <c r="AS16" s="226">
        <f t="shared" si="8"/>
        <v>106000</v>
      </c>
      <c r="AT16" s="226">
        <f t="shared" si="8"/>
        <v>110000</v>
      </c>
    </row>
    <row r="17" spans="2:38" ht="33" x14ac:dyDescent="0.25">
      <c r="B17" s="359" t="s">
        <v>525</v>
      </c>
      <c r="C17" s="402" t="s">
        <v>1050</v>
      </c>
      <c r="D17" s="303" t="s">
        <v>736</v>
      </c>
      <c r="E17" s="306"/>
      <c r="F17" s="306"/>
      <c r="G17" s="306"/>
      <c r="H17" s="306"/>
      <c r="I17" s="306"/>
      <c r="J17" s="306"/>
      <c r="K17" s="306"/>
      <c r="L17" s="184" t="s">
        <v>526</v>
      </c>
      <c r="M17" s="130" t="s">
        <v>527</v>
      </c>
      <c r="N17" s="130"/>
      <c r="O17" s="130"/>
      <c r="P17" s="165" t="s">
        <v>203</v>
      </c>
      <c r="Q17" s="165" t="s">
        <v>203</v>
      </c>
      <c r="R17" s="165" t="s">
        <v>203</v>
      </c>
      <c r="S17" s="165" t="s">
        <v>203</v>
      </c>
      <c r="T17" s="165" t="s">
        <v>203</v>
      </c>
      <c r="U17" s="134"/>
      <c r="V17" s="134"/>
      <c r="W17" s="135">
        <v>10</v>
      </c>
      <c r="X17" s="222">
        <v>15</v>
      </c>
      <c r="Y17" s="222">
        <v>30</v>
      </c>
      <c r="Z17" s="222">
        <v>60</v>
      </c>
      <c r="AA17" s="222">
        <v>90</v>
      </c>
      <c r="AB17" s="222">
        <v>120</v>
      </c>
      <c r="AC17" s="222">
        <v>150</v>
      </c>
      <c r="AD17" s="300">
        <f>Variables!$M$7*W18</f>
        <v>20000</v>
      </c>
      <c r="AE17" s="300">
        <f>Variables!$M$7*X18</f>
        <v>20000</v>
      </c>
      <c r="AF17" s="300">
        <f>Variables!$M$7*Y18</f>
        <v>40000</v>
      </c>
      <c r="AG17" s="300">
        <f>Variables!$M$7*Z18</f>
        <v>80000</v>
      </c>
      <c r="AH17" s="300">
        <f>Variables!$M$7*AA18</f>
        <v>120000</v>
      </c>
      <c r="AI17" s="300">
        <f>Variables!$M$7*AB18</f>
        <v>160000</v>
      </c>
      <c r="AJ17" s="300">
        <f>Variables!$M$7*AC18</f>
        <v>200000</v>
      </c>
      <c r="AK17" s="297">
        <f>SUM(AD17:AJ18)</f>
        <v>640000</v>
      </c>
      <c r="AL17" s="380" t="s">
        <v>712</v>
      </c>
    </row>
    <row r="18" spans="2:38" ht="75.75" customHeight="1" x14ac:dyDescent="0.25">
      <c r="B18" s="359"/>
      <c r="C18" s="402"/>
      <c r="D18" s="305"/>
      <c r="E18" s="308"/>
      <c r="F18" s="308"/>
      <c r="G18" s="308"/>
      <c r="H18" s="308"/>
      <c r="I18" s="308"/>
      <c r="J18" s="308"/>
      <c r="K18" s="308"/>
      <c r="L18" s="184" t="s">
        <v>528</v>
      </c>
      <c r="M18" s="130" t="s">
        <v>1130</v>
      </c>
      <c r="N18" s="130"/>
      <c r="O18" s="130"/>
      <c r="P18" s="165" t="s">
        <v>203</v>
      </c>
      <c r="Q18" s="165" t="s">
        <v>203</v>
      </c>
      <c r="R18" s="165" t="s">
        <v>203</v>
      </c>
      <c r="S18" s="165" t="s">
        <v>203</v>
      </c>
      <c r="T18" s="165" t="s">
        <v>203</v>
      </c>
      <c r="U18" s="134"/>
      <c r="V18" s="134"/>
      <c r="W18" s="222">
        <v>1</v>
      </c>
      <c r="X18" s="222">
        <v>1</v>
      </c>
      <c r="Y18" s="222">
        <v>2</v>
      </c>
      <c r="Z18" s="222">
        <v>4</v>
      </c>
      <c r="AA18" s="222">
        <v>6</v>
      </c>
      <c r="AB18" s="222">
        <v>8</v>
      </c>
      <c r="AC18" s="222">
        <v>10</v>
      </c>
      <c r="AD18" s="300"/>
      <c r="AE18" s="300"/>
      <c r="AF18" s="300"/>
      <c r="AG18" s="300"/>
      <c r="AH18" s="300"/>
      <c r="AI18" s="300"/>
      <c r="AJ18" s="300"/>
      <c r="AK18" s="299"/>
      <c r="AL18" s="382"/>
    </row>
    <row r="19" spans="2:38" x14ac:dyDescent="0.25">
      <c r="B19" s="128" t="s">
        <v>529</v>
      </c>
      <c r="C19" s="498" t="s">
        <v>530</v>
      </c>
      <c r="D19" s="492"/>
      <c r="E19" s="492"/>
      <c r="F19" s="492"/>
      <c r="G19" s="492"/>
      <c r="H19" s="492"/>
      <c r="I19" s="492"/>
      <c r="J19" s="492"/>
      <c r="K19" s="492"/>
      <c r="L19" s="493"/>
      <c r="M19" s="129"/>
      <c r="N19" s="129"/>
      <c r="O19" s="129"/>
      <c r="P19" s="129"/>
      <c r="Q19" s="129"/>
      <c r="R19" s="129"/>
      <c r="S19" s="129"/>
      <c r="T19" s="129"/>
      <c r="U19" s="129" t="str">
        <f>IF(ISBLANK('Strategic level'!M82)," ",'Strategic level'!M82)</f>
        <v xml:space="preserve"> </v>
      </c>
      <c r="V19" s="129"/>
      <c r="W19" s="129" t="str">
        <f>IF(ISBLANK('Strategic level'!O82)," ",'Strategic level'!O82)</f>
        <v xml:space="preserve"> </v>
      </c>
      <c r="X19" s="129" t="str">
        <f>IF(ISBLANK('Strategic level'!P82)," ",'Strategic level'!P82)</f>
        <v xml:space="preserve"> </v>
      </c>
      <c r="Y19" s="129" t="str">
        <f>IF(ISBLANK('Strategic level'!Q82)," ",'Strategic level'!Q82)</f>
        <v xml:space="preserve"> </v>
      </c>
      <c r="Z19" s="129" t="str">
        <f>IF(ISBLANK('Strategic level'!R82)," ",'Strategic level'!R82)</f>
        <v xml:space="preserve"> </v>
      </c>
      <c r="AA19" s="129" t="str">
        <f>IF(ISBLANK('Strategic level'!S82)," ",'Strategic level'!S82)</f>
        <v xml:space="preserve"> </v>
      </c>
      <c r="AB19" s="129" t="str">
        <f>IF(ISBLANK('Strategic level'!T82)," ",'Strategic level'!T82)</f>
        <v xml:space="preserve"> </v>
      </c>
      <c r="AC19" s="129" t="str">
        <f>IF(ISBLANK('Strategic level'!U82)," ",'Strategic level'!U82)</f>
        <v xml:space="preserve"> </v>
      </c>
      <c r="AD19" s="261">
        <f t="shared" ref="AD19:AK19" si="10">AD20+AD36</f>
        <v>0</v>
      </c>
      <c r="AE19" s="261">
        <f t="shared" si="10"/>
        <v>2604000</v>
      </c>
      <c r="AF19" s="261">
        <f t="shared" si="10"/>
        <v>3442000</v>
      </c>
      <c r="AG19" s="261">
        <f t="shared" si="10"/>
        <v>4419000</v>
      </c>
      <c r="AH19" s="261">
        <f t="shared" si="10"/>
        <v>5546000</v>
      </c>
      <c r="AI19" s="261">
        <f t="shared" si="10"/>
        <v>6873000</v>
      </c>
      <c r="AJ19" s="261">
        <f t="shared" si="10"/>
        <v>8447000</v>
      </c>
      <c r="AK19" s="261">
        <f t="shared" si="10"/>
        <v>31331000</v>
      </c>
      <c r="AL19" s="262"/>
    </row>
    <row r="20" spans="2:38" ht="66" x14ac:dyDescent="0.25">
      <c r="B20" s="365" t="s">
        <v>531</v>
      </c>
      <c r="C20" s="401" t="s">
        <v>532</v>
      </c>
      <c r="D20" s="309"/>
      <c r="E20" s="309"/>
      <c r="F20" s="309"/>
      <c r="G20" s="309"/>
      <c r="H20" s="309"/>
      <c r="I20" s="309"/>
      <c r="J20" s="309"/>
      <c r="K20" s="309"/>
      <c r="L20" s="114" t="s">
        <v>533</v>
      </c>
      <c r="M20" s="201" t="s">
        <v>534</v>
      </c>
      <c r="N20" s="201" t="s">
        <v>206</v>
      </c>
      <c r="O20" s="201" t="s">
        <v>535</v>
      </c>
      <c r="P20" s="139">
        <f>(P33-P34)*100</f>
        <v>32.433466976473497</v>
      </c>
      <c r="Q20" s="140"/>
      <c r="R20" s="140"/>
      <c r="S20" s="139">
        <f>(S33-S34)*100</f>
        <v>30.923165759954824</v>
      </c>
      <c r="T20" s="139">
        <f>(T33-T34)*100</f>
        <v>31.027545396089117</v>
      </c>
      <c r="U20" s="139">
        <f t="shared" ref="U20:AC20" si="11">(U33-U34)*100</f>
        <v>29.295306875568901</v>
      </c>
      <c r="V20" s="139">
        <f>+(U20+W20)/2</f>
        <v>28.152522812139573</v>
      </c>
      <c r="W20" s="139">
        <f t="shared" si="11"/>
        <v>27.009738748710244</v>
      </c>
      <c r="X20" s="139">
        <f t="shared" si="11"/>
        <v>23.912819227583881</v>
      </c>
      <c r="Y20" s="139">
        <f t="shared" si="11"/>
        <v>22.82484171056144</v>
      </c>
      <c r="Z20" s="139">
        <f t="shared" si="11"/>
        <v>21.638182475636636</v>
      </c>
      <c r="AA20" s="139">
        <f t="shared" si="11"/>
        <v>19.887126030730784</v>
      </c>
      <c r="AB20" s="139">
        <f t="shared" si="11"/>
        <v>17.936861729118359</v>
      </c>
      <c r="AC20" s="139">
        <f t="shared" si="11"/>
        <v>15.590342748094388</v>
      </c>
      <c r="AD20" s="367">
        <f t="shared" ref="AD20:AK20" si="12">+AD35</f>
        <v>0</v>
      </c>
      <c r="AE20" s="367">
        <f t="shared" si="12"/>
        <v>83000</v>
      </c>
      <c r="AF20" s="367">
        <f t="shared" si="12"/>
        <v>216000</v>
      </c>
      <c r="AG20" s="367">
        <f t="shared" si="12"/>
        <v>315000</v>
      </c>
      <c r="AH20" s="367">
        <f t="shared" si="12"/>
        <v>398000</v>
      </c>
      <c r="AI20" s="367">
        <f t="shared" si="12"/>
        <v>487000</v>
      </c>
      <c r="AJ20" s="367">
        <f t="shared" si="12"/>
        <v>607000</v>
      </c>
      <c r="AK20" s="367">
        <f t="shared" si="12"/>
        <v>2106000</v>
      </c>
      <c r="AL20" s="444"/>
    </row>
    <row r="21" spans="2:38" ht="66" x14ac:dyDescent="0.25">
      <c r="B21" s="365"/>
      <c r="C21" s="401"/>
      <c r="D21" s="310"/>
      <c r="E21" s="310"/>
      <c r="F21" s="310"/>
      <c r="G21" s="310"/>
      <c r="H21" s="310"/>
      <c r="I21" s="310"/>
      <c r="J21" s="310"/>
      <c r="K21" s="310"/>
      <c r="L21" s="184"/>
      <c r="M21" s="126" t="s">
        <v>536</v>
      </c>
      <c r="N21" s="126" t="s">
        <v>206</v>
      </c>
      <c r="O21" s="234"/>
      <c r="P21" s="253">
        <v>83608</v>
      </c>
      <c r="Q21" s="253"/>
      <c r="R21" s="253"/>
      <c r="S21" s="253">
        <v>81652</v>
      </c>
      <c r="T21" s="253">
        <v>89719</v>
      </c>
      <c r="U21" s="134"/>
      <c r="V21" s="134"/>
      <c r="W21" s="134"/>
      <c r="X21" s="134"/>
      <c r="Y21" s="134"/>
      <c r="Z21" s="134"/>
      <c r="AA21" s="134"/>
      <c r="AB21" s="134"/>
      <c r="AC21" s="134"/>
      <c r="AD21" s="368"/>
      <c r="AE21" s="368"/>
      <c r="AF21" s="368"/>
      <c r="AG21" s="368"/>
      <c r="AH21" s="368"/>
      <c r="AI21" s="368"/>
      <c r="AJ21" s="368"/>
      <c r="AK21" s="368"/>
      <c r="AL21" s="445"/>
    </row>
    <row r="22" spans="2:38" ht="66" x14ac:dyDescent="0.25">
      <c r="B22" s="365"/>
      <c r="C22" s="401"/>
      <c r="D22" s="310"/>
      <c r="E22" s="310"/>
      <c r="F22" s="310"/>
      <c r="G22" s="310"/>
      <c r="H22" s="310"/>
      <c r="I22" s="310"/>
      <c r="J22" s="310"/>
      <c r="K22" s="310"/>
      <c r="L22" s="184"/>
      <c r="M22" s="126" t="s">
        <v>537</v>
      </c>
      <c r="N22" s="126" t="s">
        <v>206</v>
      </c>
      <c r="O22" s="234"/>
      <c r="P22" s="253">
        <v>67062</v>
      </c>
      <c r="Q22" s="253"/>
      <c r="R22" s="253"/>
      <c r="S22" s="253">
        <v>67868</v>
      </c>
      <c r="T22" s="253">
        <v>90337</v>
      </c>
      <c r="U22" s="135"/>
      <c r="V22" s="135"/>
      <c r="W22" s="135"/>
      <c r="X22" s="134"/>
      <c r="Y22" s="134"/>
      <c r="Z22" s="134"/>
      <c r="AA22" s="134"/>
      <c r="AB22" s="134"/>
      <c r="AC22" s="134"/>
      <c r="AD22" s="368"/>
      <c r="AE22" s="368"/>
      <c r="AF22" s="368"/>
      <c r="AG22" s="368"/>
      <c r="AH22" s="368"/>
      <c r="AI22" s="368"/>
      <c r="AJ22" s="368"/>
      <c r="AK22" s="368"/>
      <c r="AL22" s="445"/>
    </row>
    <row r="23" spans="2:38" x14ac:dyDescent="0.25">
      <c r="B23" s="365"/>
      <c r="C23" s="401"/>
      <c r="D23" s="310"/>
      <c r="E23" s="310"/>
      <c r="F23" s="310"/>
      <c r="G23" s="310"/>
      <c r="H23" s="310"/>
      <c r="I23" s="310"/>
      <c r="J23" s="310"/>
      <c r="K23" s="310"/>
      <c r="L23" s="184"/>
      <c r="M23" s="115" t="s">
        <v>538</v>
      </c>
      <c r="N23" s="126" t="s">
        <v>184</v>
      </c>
      <c r="O23" s="234"/>
      <c r="P23" s="263">
        <f>SUM(P21:P22)</f>
        <v>150670</v>
      </c>
      <c r="Q23" s="253"/>
      <c r="R23" s="253"/>
      <c r="S23" s="263">
        <f>SUM(S21:S22)</f>
        <v>149520</v>
      </c>
      <c r="T23" s="263">
        <f>SUM(T21:T22)</f>
        <v>180056</v>
      </c>
      <c r="U23" s="141">
        <f>ROUND(T23*1.002,0)</f>
        <v>180416</v>
      </c>
      <c r="V23" s="141">
        <f>+(U23+W23)/2</f>
        <v>180596.5</v>
      </c>
      <c r="W23" s="141">
        <f>ROUND(U23*1.002,0)</f>
        <v>180777</v>
      </c>
      <c r="X23" s="141">
        <f t="shared" ref="X23:AC23" si="13">ROUND(W23*1.002,0)</f>
        <v>181139</v>
      </c>
      <c r="Y23" s="141">
        <f t="shared" si="13"/>
        <v>181501</v>
      </c>
      <c r="Z23" s="141">
        <f t="shared" si="13"/>
        <v>181864</v>
      </c>
      <c r="AA23" s="141">
        <f t="shared" si="13"/>
        <v>182228</v>
      </c>
      <c r="AB23" s="141">
        <f t="shared" si="13"/>
        <v>182592</v>
      </c>
      <c r="AC23" s="141">
        <f t="shared" si="13"/>
        <v>182957</v>
      </c>
      <c r="AD23" s="368"/>
      <c r="AE23" s="368"/>
      <c r="AF23" s="368"/>
      <c r="AG23" s="368"/>
      <c r="AH23" s="368"/>
      <c r="AI23" s="368"/>
      <c r="AJ23" s="368"/>
      <c r="AK23" s="368"/>
      <c r="AL23" s="445"/>
    </row>
    <row r="24" spans="2:38" ht="66" x14ac:dyDescent="0.25">
      <c r="B24" s="365"/>
      <c r="C24" s="401"/>
      <c r="D24" s="310"/>
      <c r="E24" s="310"/>
      <c r="F24" s="310"/>
      <c r="G24" s="310"/>
      <c r="H24" s="310"/>
      <c r="I24" s="310"/>
      <c r="J24" s="310"/>
      <c r="K24" s="310"/>
      <c r="L24" s="184"/>
      <c r="M24" s="126" t="s">
        <v>539</v>
      </c>
      <c r="N24" s="126" t="s">
        <v>206</v>
      </c>
      <c r="O24" s="234"/>
      <c r="P24" s="253">
        <v>113103</v>
      </c>
      <c r="Q24" s="253"/>
      <c r="R24" s="253"/>
      <c r="S24" s="253">
        <v>105264</v>
      </c>
      <c r="T24" s="253">
        <v>112384</v>
      </c>
      <c r="U24" s="134"/>
      <c r="V24" s="134"/>
      <c r="W24" s="134"/>
      <c r="X24" s="134"/>
      <c r="Y24" s="134"/>
      <c r="Z24" s="134"/>
      <c r="AA24" s="134"/>
      <c r="AB24" s="134"/>
      <c r="AC24" s="134"/>
      <c r="AD24" s="368"/>
      <c r="AE24" s="368"/>
      <c r="AF24" s="368"/>
      <c r="AG24" s="368"/>
      <c r="AH24" s="368"/>
      <c r="AI24" s="368"/>
      <c r="AJ24" s="368"/>
      <c r="AK24" s="368"/>
      <c r="AL24" s="445"/>
    </row>
    <row r="25" spans="2:38" ht="66" x14ac:dyDescent="0.25">
      <c r="B25" s="365"/>
      <c r="C25" s="401"/>
      <c r="D25" s="310"/>
      <c r="E25" s="310"/>
      <c r="F25" s="310"/>
      <c r="G25" s="310"/>
      <c r="H25" s="310"/>
      <c r="I25" s="310"/>
      <c r="J25" s="310"/>
      <c r="K25" s="310"/>
      <c r="L25" s="184"/>
      <c r="M25" s="126" t="s">
        <v>540</v>
      </c>
      <c r="N25" s="126" t="s">
        <v>206</v>
      </c>
      <c r="O25" s="234"/>
      <c r="P25" s="253">
        <v>94138</v>
      </c>
      <c r="Q25" s="253"/>
      <c r="R25" s="253"/>
      <c r="S25" s="253">
        <v>88826</v>
      </c>
      <c r="T25" s="253">
        <v>115357</v>
      </c>
      <c r="U25" s="134"/>
      <c r="V25" s="134"/>
      <c r="W25" s="134"/>
      <c r="X25" s="134"/>
      <c r="Y25" s="134"/>
      <c r="Z25" s="134"/>
      <c r="AA25" s="134"/>
      <c r="AB25" s="134"/>
      <c r="AC25" s="134"/>
      <c r="AD25" s="368"/>
      <c r="AE25" s="368"/>
      <c r="AF25" s="368"/>
      <c r="AG25" s="368"/>
      <c r="AH25" s="368"/>
      <c r="AI25" s="368"/>
      <c r="AJ25" s="368"/>
      <c r="AK25" s="368"/>
      <c r="AL25" s="445"/>
    </row>
    <row r="26" spans="2:38" ht="33" x14ac:dyDescent="0.25">
      <c r="B26" s="365"/>
      <c r="C26" s="401"/>
      <c r="D26" s="310"/>
      <c r="E26" s="310"/>
      <c r="F26" s="310"/>
      <c r="G26" s="310"/>
      <c r="H26" s="310"/>
      <c r="I26" s="310"/>
      <c r="J26" s="310"/>
      <c r="K26" s="310"/>
      <c r="L26" s="184"/>
      <c r="M26" s="115" t="s">
        <v>541</v>
      </c>
      <c r="N26" s="126" t="s">
        <v>184</v>
      </c>
      <c r="O26" s="234"/>
      <c r="P26" s="263">
        <f>SUM(P24:P25)</f>
        <v>207241</v>
      </c>
      <c r="Q26" s="253"/>
      <c r="R26" s="253"/>
      <c r="S26" s="263">
        <f>SUM(S24:S25)</f>
        <v>194090</v>
      </c>
      <c r="T26" s="263">
        <f>SUM(T24:T25)</f>
        <v>227741</v>
      </c>
      <c r="U26" s="141">
        <v>239627</v>
      </c>
      <c r="V26" s="141">
        <f>+(U26+W26)/2</f>
        <v>236617</v>
      </c>
      <c r="W26" s="141">
        <v>233607</v>
      </c>
      <c r="X26" s="141">
        <v>228059</v>
      </c>
      <c r="Y26" s="141">
        <v>220937</v>
      </c>
      <c r="Z26" s="141">
        <v>213595</v>
      </c>
      <c r="AA26" s="141">
        <v>206137</v>
      </c>
      <c r="AB26" s="141">
        <v>197632</v>
      </c>
      <c r="AC26" s="141">
        <v>187524</v>
      </c>
      <c r="AD26" s="368"/>
      <c r="AE26" s="368"/>
      <c r="AF26" s="368"/>
      <c r="AG26" s="368"/>
      <c r="AH26" s="368"/>
      <c r="AI26" s="368"/>
      <c r="AJ26" s="368"/>
      <c r="AK26" s="368"/>
      <c r="AL26" s="445"/>
    </row>
    <row r="27" spans="2:38" ht="66" x14ac:dyDescent="0.25">
      <c r="B27" s="365"/>
      <c r="C27" s="401"/>
      <c r="D27" s="310"/>
      <c r="E27" s="310"/>
      <c r="F27" s="310"/>
      <c r="G27" s="310"/>
      <c r="H27" s="310"/>
      <c r="I27" s="310"/>
      <c r="J27" s="310"/>
      <c r="K27" s="310"/>
      <c r="L27" s="184"/>
      <c r="M27" s="126" t="s">
        <v>542</v>
      </c>
      <c r="N27" s="126" t="s">
        <v>206</v>
      </c>
      <c r="O27" s="234"/>
      <c r="P27" s="253">
        <v>45399</v>
      </c>
      <c r="Q27" s="253"/>
      <c r="R27" s="253"/>
      <c r="S27" s="253">
        <v>49018</v>
      </c>
      <c r="T27" s="253">
        <v>56446</v>
      </c>
      <c r="U27" s="135">
        <f>ROUND('Strategic level'!M57*1000,0)</f>
        <v>59605</v>
      </c>
      <c r="V27" s="135">
        <f>+(U27+W27)/2</f>
        <v>61272.5</v>
      </c>
      <c r="W27" s="135">
        <f>ROUND('Strategic level'!O57*1000,0)</f>
        <v>62940</v>
      </c>
      <c r="X27" s="135">
        <f>ROUND('Strategic level'!P57*1000,0)</f>
        <v>66550</v>
      </c>
      <c r="Y27" s="135">
        <f>ROUND('Strategic level'!Q57*1000,0)</f>
        <v>68214</v>
      </c>
      <c r="Z27" s="135">
        <f>ROUND('Strategic level'!R57*1000,0)</f>
        <v>69919</v>
      </c>
      <c r="AA27" s="135">
        <f>ROUND('Strategic level'!S57*1000,0)</f>
        <v>71667</v>
      </c>
      <c r="AB27" s="135">
        <f>ROUND('Strategic level'!T57*1000,0)</f>
        <v>73459</v>
      </c>
      <c r="AC27" s="135">
        <f>ROUND('Strategic level'!U57*1000,0)</f>
        <v>75295</v>
      </c>
      <c r="AD27" s="368"/>
      <c r="AE27" s="368"/>
      <c r="AF27" s="368"/>
      <c r="AG27" s="368"/>
      <c r="AH27" s="368"/>
      <c r="AI27" s="368"/>
      <c r="AJ27" s="368"/>
      <c r="AK27" s="368"/>
      <c r="AL27" s="445"/>
    </row>
    <row r="28" spans="2:38" ht="66" x14ac:dyDescent="0.25">
      <c r="B28" s="365"/>
      <c r="C28" s="401"/>
      <c r="D28" s="310"/>
      <c r="E28" s="310"/>
      <c r="F28" s="310"/>
      <c r="G28" s="310"/>
      <c r="H28" s="310"/>
      <c r="I28" s="310"/>
      <c r="J28" s="310"/>
      <c r="K28" s="310"/>
      <c r="L28" s="184"/>
      <c r="M28" s="126" t="s">
        <v>543</v>
      </c>
      <c r="N28" s="126" t="s">
        <v>206</v>
      </c>
      <c r="O28" s="234"/>
      <c r="P28" s="253">
        <v>45418</v>
      </c>
      <c r="Q28" s="253"/>
      <c r="R28" s="253"/>
      <c r="S28" s="253">
        <v>55862</v>
      </c>
      <c r="T28" s="253">
        <v>59974</v>
      </c>
      <c r="U28" s="135">
        <f>ROUND('Strategic level'!M58*1000,0)</f>
        <v>64290</v>
      </c>
      <c r="V28" s="135">
        <f>+(U28+W28)/2</f>
        <v>66604</v>
      </c>
      <c r="W28" s="135">
        <f>ROUND('Strategic level'!O58*1000,0)</f>
        <v>68918</v>
      </c>
      <c r="X28" s="135">
        <f>ROUND('Strategic level'!P58*1000,0)</f>
        <v>74002</v>
      </c>
      <c r="Y28" s="135">
        <f>ROUND('Strategic level'!Q58*1000,0)</f>
        <v>75852</v>
      </c>
      <c r="Z28" s="135">
        <f>ROUND('Strategic level'!R58*1000,0)</f>
        <v>77748</v>
      </c>
      <c r="AA28" s="135">
        <f>ROUND('Strategic level'!S58*1000,0)</f>
        <v>79692</v>
      </c>
      <c r="AB28" s="135">
        <f>ROUND('Strategic level'!T58*1000,0)</f>
        <v>81684</v>
      </c>
      <c r="AC28" s="135">
        <f>ROUND('Strategic level'!U58*1000,0)</f>
        <v>83726</v>
      </c>
      <c r="AD28" s="368"/>
      <c r="AE28" s="368"/>
      <c r="AF28" s="368"/>
      <c r="AG28" s="368"/>
      <c r="AH28" s="368"/>
      <c r="AI28" s="368"/>
      <c r="AJ28" s="368"/>
      <c r="AK28" s="368"/>
      <c r="AL28" s="445"/>
    </row>
    <row r="29" spans="2:38" x14ac:dyDescent="0.25">
      <c r="B29" s="365"/>
      <c r="C29" s="401"/>
      <c r="D29" s="310"/>
      <c r="E29" s="310"/>
      <c r="F29" s="310"/>
      <c r="G29" s="310"/>
      <c r="H29" s="310"/>
      <c r="I29" s="310"/>
      <c r="J29" s="310"/>
      <c r="K29" s="310"/>
      <c r="L29" s="184"/>
      <c r="M29" s="115" t="s">
        <v>544</v>
      </c>
      <c r="N29" s="126" t="s">
        <v>184</v>
      </c>
      <c r="O29" s="234"/>
      <c r="P29" s="263">
        <f>SUM(P27:P28)</f>
        <v>90817</v>
      </c>
      <c r="Q29" s="253"/>
      <c r="R29" s="253"/>
      <c r="S29" s="263">
        <f>SUM(S27:S28)</f>
        <v>104880</v>
      </c>
      <c r="T29" s="263">
        <f>SUM(T27:T28)</f>
        <v>116420</v>
      </c>
      <c r="U29" s="263">
        <f>SUM(U27:U28)</f>
        <v>123895</v>
      </c>
      <c r="V29" s="263">
        <f>+(U29+W29)/2</f>
        <v>127876.5</v>
      </c>
      <c r="W29" s="263">
        <f t="shared" ref="W29:AC29" si="14">SUM(W27:W28)</f>
        <v>131858</v>
      </c>
      <c r="X29" s="263">
        <f t="shared" si="14"/>
        <v>140552</v>
      </c>
      <c r="Y29" s="263">
        <f t="shared" si="14"/>
        <v>144066</v>
      </c>
      <c r="Z29" s="263">
        <f t="shared" si="14"/>
        <v>147667</v>
      </c>
      <c r="AA29" s="263">
        <f t="shared" si="14"/>
        <v>151359</v>
      </c>
      <c r="AB29" s="263">
        <f t="shared" si="14"/>
        <v>155143</v>
      </c>
      <c r="AC29" s="263">
        <f t="shared" si="14"/>
        <v>159021</v>
      </c>
      <c r="AD29" s="368"/>
      <c r="AE29" s="368"/>
      <c r="AF29" s="368"/>
      <c r="AG29" s="368"/>
      <c r="AH29" s="368"/>
      <c r="AI29" s="368"/>
      <c r="AJ29" s="368"/>
      <c r="AK29" s="368"/>
      <c r="AL29" s="445"/>
    </row>
    <row r="30" spans="2:38" ht="66" x14ac:dyDescent="0.25">
      <c r="B30" s="365"/>
      <c r="C30" s="401"/>
      <c r="D30" s="310"/>
      <c r="E30" s="310"/>
      <c r="F30" s="310"/>
      <c r="G30" s="310"/>
      <c r="H30" s="310"/>
      <c r="I30" s="310"/>
      <c r="J30" s="310"/>
      <c r="K30" s="310"/>
      <c r="L30" s="184"/>
      <c r="M30" s="126" t="s">
        <v>545</v>
      </c>
      <c r="N30" s="126" t="s">
        <v>206</v>
      </c>
      <c r="O30" s="234"/>
      <c r="P30" s="253">
        <v>122823</v>
      </c>
      <c r="Q30" s="253"/>
      <c r="R30" s="253"/>
      <c r="S30" s="253">
        <v>116539</v>
      </c>
      <c r="T30" s="253">
        <v>123113</v>
      </c>
      <c r="U30" s="134"/>
      <c r="V30" s="134"/>
      <c r="W30" s="134"/>
      <c r="X30" s="134"/>
      <c r="Y30" s="134"/>
      <c r="Z30" s="134"/>
      <c r="AA30" s="134"/>
      <c r="AB30" s="134"/>
      <c r="AC30" s="134"/>
      <c r="AD30" s="368"/>
      <c r="AE30" s="368"/>
      <c r="AF30" s="368"/>
      <c r="AG30" s="368"/>
      <c r="AH30" s="368"/>
      <c r="AI30" s="368"/>
      <c r="AJ30" s="368"/>
      <c r="AK30" s="368"/>
      <c r="AL30" s="445"/>
    </row>
    <row r="31" spans="2:38" ht="66" x14ac:dyDescent="0.25">
      <c r="B31" s="365"/>
      <c r="C31" s="401"/>
      <c r="D31" s="310"/>
      <c r="E31" s="310"/>
      <c r="F31" s="310"/>
      <c r="G31" s="310"/>
      <c r="H31" s="310"/>
      <c r="I31" s="310"/>
      <c r="J31" s="310"/>
      <c r="K31" s="310"/>
      <c r="L31" s="184"/>
      <c r="M31" s="126" t="s">
        <v>546</v>
      </c>
      <c r="N31" s="126" t="s">
        <v>206</v>
      </c>
      <c r="O31" s="234"/>
      <c r="P31" s="253">
        <v>102701</v>
      </c>
      <c r="Q31" s="253"/>
      <c r="R31" s="253"/>
      <c r="S31" s="253">
        <v>110901</v>
      </c>
      <c r="T31" s="253">
        <v>119256</v>
      </c>
      <c r="U31" s="134"/>
      <c r="V31" s="134"/>
      <c r="W31" s="134"/>
      <c r="X31" s="134"/>
      <c r="Y31" s="134"/>
      <c r="Z31" s="134"/>
      <c r="AA31" s="134"/>
      <c r="AB31" s="134"/>
      <c r="AC31" s="134"/>
      <c r="AD31" s="368"/>
      <c r="AE31" s="368"/>
      <c r="AF31" s="368"/>
      <c r="AG31" s="368"/>
      <c r="AH31" s="368"/>
      <c r="AI31" s="368"/>
      <c r="AJ31" s="368"/>
      <c r="AK31" s="368"/>
      <c r="AL31" s="445"/>
    </row>
    <row r="32" spans="2:38" ht="33" x14ac:dyDescent="0.25">
      <c r="B32" s="365"/>
      <c r="C32" s="401"/>
      <c r="D32" s="310"/>
      <c r="E32" s="310"/>
      <c r="F32" s="310"/>
      <c r="G32" s="310"/>
      <c r="H32" s="310"/>
      <c r="I32" s="310"/>
      <c r="J32" s="310"/>
      <c r="K32" s="310"/>
      <c r="L32" s="184"/>
      <c r="M32" s="115" t="s">
        <v>547</v>
      </c>
      <c r="N32" s="126" t="s">
        <v>184</v>
      </c>
      <c r="O32" s="234"/>
      <c r="P32" s="263">
        <f>SUM(P30:P31)</f>
        <v>225524</v>
      </c>
      <c r="Q32" s="253"/>
      <c r="R32" s="253"/>
      <c r="S32" s="263">
        <f>SUM(S30:S31)</f>
        <v>227440</v>
      </c>
      <c r="T32" s="263">
        <f>SUM(T30:T31)</f>
        <v>242369</v>
      </c>
      <c r="U32" s="141">
        <v>269366</v>
      </c>
      <c r="V32" s="141">
        <f>+(U32+W32)/2</f>
        <v>265558.5</v>
      </c>
      <c r="W32" s="141">
        <v>261751</v>
      </c>
      <c r="X32" s="141">
        <v>253185</v>
      </c>
      <c r="Y32" s="141">
        <v>242839</v>
      </c>
      <c r="Z32" s="141">
        <v>232524</v>
      </c>
      <c r="AA32" s="141">
        <v>220916</v>
      </c>
      <c r="AB32" s="141">
        <v>208377</v>
      </c>
      <c r="AC32" s="141">
        <v>193989</v>
      </c>
      <c r="AD32" s="368"/>
      <c r="AE32" s="368"/>
      <c r="AF32" s="368"/>
      <c r="AG32" s="368"/>
      <c r="AH32" s="368"/>
      <c r="AI32" s="368"/>
      <c r="AJ32" s="368"/>
      <c r="AK32" s="368"/>
      <c r="AL32" s="445"/>
    </row>
    <row r="33" spans="2:46" ht="33" x14ac:dyDescent="0.25">
      <c r="B33" s="365"/>
      <c r="C33" s="401"/>
      <c r="D33" s="310"/>
      <c r="E33" s="310"/>
      <c r="F33" s="310"/>
      <c r="G33" s="310"/>
      <c r="H33" s="310"/>
      <c r="I33" s="310"/>
      <c r="J33" s="310"/>
      <c r="K33" s="310"/>
      <c r="L33" s="184"/>
      <c r="M33" s="126" t="s">
        <v>548</v>
      </c>
      <c r="N33" s="126" t="s">
        <v>184</v>
      </c>
      <c r="O33" s="234"/>
      <c r="P33" s="264">
        <f>P23/P26</f>
        <v>0.72702795296297551</v>
      </c>
      <c r="Q33" s="234"/>
      <c r="R33" s="234"/>
      <c r="S33" s="264">
        <f>S23/S26</f>
        <v>0.77036426400123659</v>
      </c>
      <c r="T33" s="264">
        <f>T23/T26</f>
        <v>0.79061741188455303</v>
      </c>
      <c r="U33" s="264">
        <f>U23/U26</f>
        <v>0.75290347081088527</v>
      </c>
      <c r="V33" s="264">
        <f>+(U33+W33)/2</f>
        <v>0.76337721280980131</v>
      </c>
      <c r="W33" s="264">
        <f t="shared" ref="W33:AC33" si="15">W23/W26</f>
        <v>0.77385095480871724</v>
      </c>
      <c r="X33" s="264">
        <f t="shared" si="15"/>
        <v>0.79426376507833496</v>
      </c>
      <c r="Y33" s="264">
        <f t="shared" si="15"/>
        <v>0.82150567808922903</v>
      </c>
      <c r="Z33" s="264">
        <f t="shared" si="15"/>
        <v>0.8514431517591704</v>
      </c>
      <c r="AA33" s="264">
        <f t="shared" si="15"/>
        <v>0.8840140295046498</v>
      </c>
      <c r="AB33" s="264">
        <f t="shared" si="15"/>
        <v>0.9238989637305699</v>
      </c>
      <c r="AC33" s="264">
        <f t="shared" si="15"/>
        <v>0.97564578400631385</v>
      </c>
      <c r="AD33" s="368"/>
      <c r="AE33" s="368"/>
      <c r="AF33" s="368"/>
      <c r="AG33" s="368"/>
      <c r="AH33" s="368"/>
      <c r="AI33" s="368"/>
      <c r="AJ33" s="368"/>
      <c r="AK33" s="368"/>
      <c r="AL33" s="445"/>
    </row>
    <row r="34" spans="2:46" ht="33" x14ac:dyDescent="0.25">
      <c r="B34" s="365"/>
      <c r="C34" s="401"/>
      <c r="D34" s="311"/>
      <c r="E34" s="311"/>
      <c r="F34" s="311"/>
      <c r="G34" s="311"/>
      <c r="H34" s="311"/>
      <c r="I34" s="311"/>
      <c r="J34" s="311"/>
      <c r="K34" s="311"/>
      <c r="L34" s="184"/>
      <c r="M34" s="126" t="s">
        <v>549</v>
      </c>
      <c r="N34" s="126" t="s">
        <v>184</v>
      </c>
      <c r="O34" s="234"/>
      <c r="P34" s="264">
        <f>P29/P32</f>
        <v>0.40269328319824055</v>
      </c>
      <c r="Q34" s="234"/>
      <c r="R34" s="234"/>
      <c r="S34" s="264">
        <f>S29/S32</f>
        <v>0.46113260640168835</v>
      </c>
      <c r="T34" s="264">
        <f>T29/T32</f>
        <v>0.48034195792366186</v>
      </c>
      <c r="U34" s="265">
        <f>U29/U32</f>
        <v>0.45995040205519627</v>
      </c>
      <c r="V34" s="265">
        <f>+(U34+W34)/2</f>
        <v>0.48185198468840551</v>
      </c>
      <c r="W34" s="265">
        <f t="shared" ref="W34:AC34" si="16">W29/W32</f>
        <v>0.5037535673216148</v>
      </c>
      <c r="X34" s="265">
        <f t="shared" si="16"/>
        <v>0.55513557280249615</v>
      </c>
      <c r="Y34" s="265">
        <f t="shared" si="16"/>
        <v>0.59325726098361464</v>
      </c>
      <c r="Z34" s="265">
        <f t="shared" si="16"/>
        <v>0.63506132700280404</v>
      </c>
      <c r="AA34" s="265">
        <f t="shared" si="16"/>
        <v>0.68514276919734196</v>
      </c>
      <c r="AB34" s="265">
        <f t="shared" si="16"/>
        <v>0.74453034643938631</v>
      </c>
      <c r="AC34" s="265">
        <f t="shared" si="16"/>
        <v>0.81974235652536998</v>
      </c>
      <c r="AD34" s="369"/>
      <c r="AE34" s="369"/>
      <c r="AF34" s="369"/>
      <c r="AG34" s="369"/>
      <c r="AH34" s="369"/>
      <c r="AI34" s="369"/>
      <c r="AJ34" s="369"/>
      <c r="AK34" s="369"/>
      <c r="AL34" s="446"/>
    </row>
    <row r="35" spans="2:46" ht="363" x14ac:dyDescent="0.25">
      <c r="B35" s="184" t="s">
        <v>550</v>
      </c>
      <c r="C35" s="126" t="s">
        <v>1032</v>
      </c>
      <c r="D35" s="64" t="s">
        <v>736</v>
      </c>
      <c r="E35" s="126"/>
      <c r="F35" s="133"/>
      <c r="G35" s="133"/>
      <c r="H35" s="133"/>
      <c r="I35" s="133"/>
      <c r="J35" s="133"/>
      <c r="K35" s="133"/>
      <c r="L35" s="184" t="s">
        <v>551</v>
      </c>
      <c r="M35" s="130" t="s">
        <v>552</v>
      </c>
      <c r="N35" s="130"/>
      <c r="O35" s="130"/>
      <c r="P35" s="165" t="s">
        <v>203</v>
      </c>
      <c r="Q35" s="165" t="s">
        <v>203</v>
      </c>
      <c r="R35" s="165" t="s">
        <v>203</v>
      </c>
      <c r="S35" s="165" t="s">
        <v>203</v>
      </c>
      <c r="T35" s="165" t="s">
        <v>203</v>
      </c>
      <c r="U35" s="134"/>
      <c r="V35" s="134"/>
      <c r="W35" s="134"/>
      <c r="X35" s="222">
        <v>4</v>
      </c>
      <c r="Y35" s="222">
        <v>10</v>
      </c>
      <c r="Z35" s="222">
        <v>14</v>
      </c>
      <c r="AA35" s="222">
        <v>17</v>
      </c>
      <c r="AB35" s="222">
        <v>20</v>
      </c>
      <c r="AC35" s="222">
        <f>'StG 1'!AC71+'StG 1'!AC72</f>
        <v>24</v>
      </c>
      <c r="AD35" s="136"/>
      <c r="AE35" s="135">
        <f>ROUND(X35*40000*0.5*1.04^1,-3)</f>
        <v>83000</v>
      </c>
      <c r="AF35" s="135">
        <f>ROUND(Y35*40000*0.5*1.04^2,-3)</f>
        <v>216000</v>
      </c>
      <c r="AG35" s="135">
        <f>ROUND(Z35*40000*0.5*1.04^3,-3)</f>
        <v>315000</v>
      </c>
      <c r="AH35" s="135">
        <f>ROUND(AA35*40000*0.5*1.04^4,-3)</f>
        <v>398000</v>
      </c>
      <c r="AI35" s="135">
        <f>ROUND(AB35*40000*0.5*1.04^5,-3)</f>
        <v>487000</v>
      </c>
      <c r="AJ35" s="135">
        <f>ROUND(AC35*40000*0.5*1.04^6,-3)</f>
        <v>607000</v>
      </c>
      <c r="AK35" s="135">
        <f t="shared" ref="AK35" si="17">SUM(AD35:AJ35)</f>
        <v>2106000</v>
      </c>
      <c r="AL35" s="260" t="s">
        <v>1164</v>
      </c>
    </row>
    <row r="36" spans="2:46" ht="82.5" x14ac:dyDescent="0.25">
      <c r="B36" s="187" t="s">
        <v>553</v>
      </c>
      <c r="C36" s="90" t="s">
        <v>1165</v>
      </c>
      <c r="D36" s="115"/>
      <c r="E36" s="115"/>
      <c r="F36" s="115"/>
      <c r="G36" s="115"/>
      <c r="H36" s="115"/>
      <c r="I36" s="115"/>
      <c r="J36" s="115"/>
      <c r="K36" s="115"/>
      <c r="L36" s="114" t="s">
        <v>554</v>
      </c>
      <c r="M36" s="201" t="s">
        <v>555</v>
      </c>
      <c r="N36" s="201"/>
      <c r="O36" s="201" t="s">
        <v>1166</v>
      </c>
      <c r="P36" s="127">
        <f>P34</f>
        <v>0.40269328319824055</v>
      </c>
      <c r="Q36" s="127"/>
      <c r="R36" s="127"/>
      <c r="S36" s="127">
        <f>S34</f>
        <v>0.46113260640168835</v>
      </c>
      <c r="T36" s="127">
        <f>T34</f>
        <v>0.48034195792366186</v>
      </c>
      <c r="U36" s="127">
        <f>U34</f>
        <v>0.45995040205519627</v>
      </c>
      <c r="V36" s="127">
        <f>+(U36+W36)/2</f>
        <v>0.48185198468840551</v>
      </c>
      <c r="W36" s="127">
        <f t="shared" ref="W36:AC36" si="18">W34</f>
        <v>0.5037535673216148</v>
      </c>
      <c r="X36" s="127">
        <f t="shared" si="18"/>
        <v>0.55513557280249615</v>
      </c>
      <c r="Y36" s="127">
        <f t="shared" si="18"/>
        <v>0.59325726098361464</v>
      </c>
      <c r="Z36" s="127">
        <f t="shared" si="18"/>
        <v>0.63506132700280404</v>
      </c>
      <c r="AA36" s="127">
        <f t="shared" si="18"/>
        <v>0.68514276919734196</v>
      </c>
      <c r="AB36" s="127">
        <f t="shared" si="18"/>
        <v>0.74453034643938631</v>
      </c>
      <c r="AC36" s="127">
        <f t="shared" si="18"/>
        <v>0.81974235652536998</v>
      </c>
      <c r="AD36" s="132">
        <f>AD37+AD40+AD41</f>
        <v>0</v>
      </c>
      <c r="AE36" s="132">
        <f t="shared" ref="AE36:AK36" si="19">AE37+AE40+AE41</f>
        <v>2521000</v>
      </c>
      <c r="AF36" s="132">
        <f t="shared" si="19"/>
        <v>3226000</v>
      </c>
      <c r="AG36" s="132">
        <f t="shared" si="19"/>
        <v>4104000</v>
      </c>
      <c r="AH36" s="132">
        <f t="shared" si="19"/>
        <v>5148000</v>
      </c>
      <c r="AI36" s="132">
        <f t="shared" si="19"/>
        <v>6386000</v>
      </c>
      <c r="AJ36" s="132">
        <f t="shared" si="19"/>
        <v>7840000</v>
      </c>
      <c r="AK36" s="132">
        <f t="shared" si="19"/>
        <v>29225000</v>
      </c>
      <c r="AL36" s="186"/>
    </row>
    <row r="37" spans="2:46" ht="99" x14ac:dyDescent="0.25">
      <c r="B37" s="359" t="s">
        <v>556</v>
      </c>
      <c r="C37" s="402" t="s">
        <v>996</v>
      </c>
      <c r="D37" s="303" t="s">
        <v>736</v>
      </c>
      <c r="E37" s="303"/>
      <c r="F37" s="306"/>
      <c r="G37" s="306"/>
      <c r="H37" s="306"/>
      <c r="I37" s="306"/>
      <c r="J37" s="306"/>
      <c r="K37" s="306"/>
      <c r="L37" s="184" t="s">
        <v>557</v>
      </c>
      <c r="M37" s="130" t="s">
        <v>558</v>
      </c>
      <c r="N37" s="130" t="s">
        <v>459</v>
      </c>
      <c r="O37" s="130" t="s">
        <v>559</v>
      </c>
      <c r="P37" s="134">
        <f>P38/P39</f>
        <v>0.11709797862752672</v>
      </c>
      <c r="Q37" s="134">
        <f t="shared" ref="Q37:AC37" si="20">Q38/Q39</f>
        <v>0.13845390774463262</v>
      </c>
      <c r="R37" s="134">
        <f t="shared" si="20"/>
        <v>0.12523985239852398</v>
      </c>
      <c r="S37" s="134">
        <f t="shared" si="20"/>
        <v>0.14755467800729041</v>
      </c>
      <c r="T37" s="134">
        <f t="shared" si="20"/>
        <v>0.16026458399744981</v>
      </c>
      <c r="U37" s="134">
        <f t="shared" si="20"/>
        <v>0.18153315610501855</v>
      </c>
      <c r="V37" s="134">
        <f>+(U37+W37)/2</f>
        <v>0.19357871530451698</v>
      </c>
      <c r="W37" s="134">
        <f t="shared" si="20"/>
        <v>0.20562427450401544</v>
      </c>
      <c r="X37" s="134">
        <f t="shared" si="20"/>
        <v>0.23361616827390019</v>
      </c>
      <c r="Y37" s="134">
        <f t="shared" si="20"/>
        <v>0.24544298679276635</v>
      </c>
      <c r="Z37" s="134">
        <f t="shared" si="20"/>
        <v>0.25786853799915005</v>
      </c>
      <c r="AA37" s="134">
        <f t="shared" si="20"/>
        <v>0.27092313273535701</v>
      </c>
      <c r="AB37" s="134">
        <f t="shared" si="20"/>
        <v>0.28463861633008442</v>
      </c>
      <c r="AC37" s="134">
        <f t="shared" si="20"/>
        <v>0.29904844628179478</v>
      </c>
      <c r="AD37" s="442"/>
      <c r="AE37" s="297">
        <f>ROUND(X38*'Strategic level'!P66/1000*12*0.1,-3)</f>
        <v>719000</v>
      </c>
      <c r="AF37" s="297">
        <f>ROUND(Y38*'Strategic level'!Q66/1000*12*0.1,-3)</f>
        <v>814000</v>
      </c>
      <c r="AG37" s="297">
        <f>ROUND(Z38*'Strategic level'!R66/1000*12*0.1,-3)</f>
        <v>920000</v>
      </c>
      <c r="AH37" s="297">
        <f>ROUND(AA38*'Strategic level'!S66/1000*12*0.1,-3)</f>
        <v>1039000</v>
      </c>
      <c r="AI37" s="297">
        <f>ROUND(AB38*'Strategic level'!T66/1000*12*0.1,-3)</f>
        <v>1172000</v>
      </c>
      <c r="AJ37" s="297">
        <f>ROUND(AC38*'Strategic level'!U66/1000*12*0.1,-3)</f>
        <v>1320000</v>
      </c>
      <c r="AK37" s="297">
        <f>SUM(AD37:AJ39)</f>
        <v>5984000</v>
      </c>
      <c r="AL37" s="370" t="s">
        <v>725</v>
      </c>
    </row>
    <row r="38" spans="2:46" ht="66" x14ac:dyDescent="0.25">
      <c r="B38" s="359"/>
      <c r="C38" s="402"/>
      <c r="D38" s="304"/>
      <c r="E38" s="304"/>
      <c r="F38" s="307"/>
      <c r="G38" s="307"/>
      <c r="H38" s="307"/>
      <c r="I38" s="307"/>
      <c r="J38" s="307"/>
      <c r="K38" s="307"/>
      <c r="L38" s="184"/>
      <c r="M38" s="118" t="s">
        <v>560</v>
      </c>
      <c r="N38" s="118"/>
      <c r="O38" s="218"/>
      <c r="P38" s="266">
        <v>1819</v>
      </c>
      <c r="Q38" s="266">
        <v>1954</v>
      </c>
      <c r="R38" s="266">
        <v>1697</v>
      </c>
      <c r="S38" s="266">
        <v>1943</v>
      </c>
      <c r="T38" s="266">
        <v>2011</v>
      </c>
      <c r="U38" s="266">
        <f>T38*('Strategic level'!M57+'Strategic level'!M58)/('Strategic level'!L57+'Strategic level'!L58)</f>
        <v>2140.1225489056696</v>
      </c>
      <c r="V38" s="266">
        <f>+(U38+W38)/2</f>
        <v>2208.8935921835209</v>
      </c>
      <c r="W38" s="266">
        <f>U38*('Strategic level'!O57+'Strategic level'!O58)/('Strategic level'!M57+'Strategic level'!M58)</f>
        <v>2277.6646354613722</v>
      </c>
      <c r="X38" s="266">
        <f>W38*('Strategic level'!P57+'Strategic level'!P58)/('Strategic level'!O57+'Strategic level'!O58)</f>
        <v>2427.8463102105088</v>
      </c>
      <c r="Y38" s="266">
        <f>X38*('Strategic level'!Q57+'Strategic level'!Q58)/('Strategic level'!P57+'Strategic level'!P58)</f>
        <v>2488.5424679657713</v>
      </c>
      <c r="Z38" s="266">
        <f>Y38*('Strategic level'!R57+'Strategic level'!R58)/('Strategic level'!Q57+'Strategic level'!Q58)</f>
        <v>2550.7560296649149</v>
      </c>
      <c r="AA38" s="266">
        <f>Z38*('Strategic level'!S57+'Strategic level'!S58)/('Strategic level'!R57+'Strategic level'!R58)</f>
        <v>2614.5249304065378</v>
      </c>
      <c r="AB38" s="266">
        <f>AA38*('Strategic level'!T57+'Strategic level'!T58)/('Strategic level'!S57+'Strategic level'!S58)</f>
        <v>2679.8880536667007</v>
      </c>
      <c r="AC38" s="266">
        <f>AB38*('Strategic level'!U57+'Strategic level'!U58)/('Strategic level'!T57+'Strategic level'!T58)</f>
        <v>2746.8852550083675</v>
      </c>
      <c r="AD38" s="447"/>
      <c r="AE38" s="298"/>
      <c r="AF38" s="298"/>
      <c r="AG38" s="298"/>
      <c r="AH38" s="298"/>
      <c r="AI38" s="298"/>
      <c r="AJ38" s="298"/>
      <c r="AK38" s="298"/>
      <c r="AL38" s="448"/>
    </row>
    <row r="39" spans="2:46" ht="49.5" x14ac:dyDescent="0.25">
      <c r="B39" s="359"/>
      <c r="C39" s="402"/>
      <c r="D39" s="305"/>
      <c r="E39" s="305"/>
      <c r="F39" s="308"/>
      <c r="G39" s="308"/>
      <c r="H39" s="308"/>
      <c r="I39" s="308"/>
      <c r="J39" s="308"/>
      <c r="K39" s="308"/>
      <c r="L39" s="184"/>
      <c r="M39" s="118" t="s">
        <v>561</v>
      </c>
      <c r="N39" s="118"/>
      <c r="O39" s="218"/>
      <c r="P39" s="266">
        <v>15534</v>
      </c>
      <c r="Q39" s="266">
        <v>14113</v>
      </c>
      <c r="R39" s="266">
        <v>13550</v>
      </c>
      <c r="S39" s="266">
        <v>13168</v>
      </c>
      <c r="T39" s="266">
        <v>12548</v>
      </c>
      <c r="U39" s="266">
        <f>T39*('Strategic level'!M59+'Strategic level'!M60)/('Strategic level'!L59+'Strategic level'!L60)</f>
        <v>11789.155186987382</v>
      </c>
      <c r="V39" s="266">
        <f>+(U39+W39)/2</f>
        <v>11432.991384752791</v>
      </c>
      <c r="W39" s="266">
        <f>U39*('Strategic level'!O59+'Strategic level'!O60)/('Strategic level'!M59+'Strategic level'!M60)</f>
        <v>11076.827582518201</v>
      </c>
      <c r="X39" s="266">
        <f>W39*('Strategic level'!P59+'Strategic level'!P60)/('Strategic level'!O59+'Strategic level'!O60)</f>
        <v>10392.458399386178</v>
      </c>
      <c r="Y39" s="266">
        <f>X39*('Strategic level'!Q59+'Strategic level'!Q60)/('Strategic level'!P59+'Strategic level'!P60)</f>
        <v>10138.983804279198</v>
      </c>
      <c r="Z39" s="266">
        <f>Y39*('Strategic level'!R59+'Strategic level'!R60)/('Strategic level'!Q59+'Strategic level'!Q60)</f>
        <v>9891.6915163699505</v>
      </c>
      <c r="AA39" s="266">
        <f>Z39*('Strategic level'!S59+'Strategic level'!S60)/('Strategic level'!R59+'Strategic level'!R60)</f>
        <v>9650.4307476780014</v>
      </c>
      <c r="AB39" s="266">
        <f>AA39*('Strategic level'!T59+'Strategic level'!T60)/('Strategic level'!S59+'Strategic level'!S60)</f>
        <v>9415.0543879785382</v>
      </c>
      <c r="AC39" s="266">
        <f>AB39*('Strategic level'!U59+'Strategic level'!U60)/('Strategic level'!T59+'Strategic level'!T60)</f>
        <v>9185.4189151010141</v>
      </c>
      <c r="AD39" s="443"/>
      <c r="AE39" s="299"/>
      <c r="AF39" s="299"/>
      <c r="AG39" s="299"/>
      <c r="AH39" s="299"/>
      <c r="AI39" s="299"/>
      <c r="AJ39" s="299"/>
      <c r="AK39" s="299"/>
      <c r="AL39" s="449"/>
    </row>
    <row r="40" spans="2:46" ht="115.5" x14ac:dyDescent="0.25">
      <c r="B40" s="184" t="s">
        <v>562</v>
      </c>
      <c r="C40" s="174" t="s">
        <v>1167</v>
      </c>
      <c r="D40" s="64" t="s">
        <v>736</v>
      </c>
      <c r="E40" s="126"/>
      <c r="F40" s="193"/>
      <c r="G40" s="193"/>
      <c r="H40" s="193"/>
      <c r="I40" s="193"/>
      <c r="J40" s="193"/>
      <c r="K40" s="193"/>
      <c r="L40" s="184" t="s">
        <v>563</v>
      </c>
      <c r="M40" s="130" t="s">
        <v>123</v>
      </c>
      <c r="N40" s="130"/>
      <c r="O40" s="130"/>
      <c r="P40" s="165" t="s">
        <v>203</v>
      </c>
      <c r="Q40" s="165" t="s">
        <v>203</v>
      </c>
      <c r="R40" s="165" t="s">
        <v>203</v>
      </c>
      <c r="S40" s="165" t="s">
        <v>203</v>
      </c>
      <c r="T40" s="165" t="s">
        <v>203</v>
      </c>
      <c r="U40" s="134"/>
      <c r="V40" s="134"/>
      <c r="W40" s="134"/>
      <c r="X40" s="222">
        <f>ROUND(('Strategic level'!P57+'Strategic level'!P58-'Strategic level'!O57-'Strategic level'!O58)*1000*0.1,0)</f>
        <v>869</v>
      </c>
      <c r="Y40" s="222">
        <f>ROUND(('Strategic level'!Q57+'Strategic level'!Q58-'Strategic level'!P57-'Strategic level'!P58)*1000*0.3,0)</f>
        <v>1054</v>
      </c>
      <c r="Z40" s="222">
        <f>ROUND(('Strategic level'!R57+'Strategic level'!R58-'Strategic level'!Q57-'Strategic level'!Q58)*1000*0.35,0)</f>
        <v>1261</v>
      </c>
      <c r="AA40" s="222">
        <f>ROUND(('Strategic level'!S57+'Strategic level'!S58-'Strategic level'!R57-'Strategic level'!R58)*1000*0.4,0)</f>
        <v>1477</v>
      </c>
      <c r="AB40" s="222">
        <f>ROUND(('Strategic level'!T57+'Strategic level'!T58-'Strategic level'!S57-'Strategic level'!S58)*1000*0.45,0)</f>
        <v>1703</v>
      </c>
      <c r="AC40" s="222">
        <f>ROUND(('Strategic level'!U57+'Strategic level'!U58-'Strategic level'!T57-'Strategic level'!T58)*1000*0.5,0)</f>
        <v>1939</v>
      </c>
      <c r="AD40" s="136"/>
      <c r="AE40" s="135">
        <f>ROUND(X40*'Strategic level'!P66/1000*12*(0.1/0.2),-3)</f>
        <v>1287000</v>
      </c>
      <c r="AF40" s="135">
        <f>ROUND(Y40*'Strategic level'!Q66/1000*12*(0.1/0.2),-3)</f>
        <v>1723000</v>
      </c>
      <c r="AG40" s="135">
        <f>ROUND(Z40*'Strategic level'!R66/1000*12*(0.1/0.2),-3)</f>
        <v>2274000</v>
      </c>
      <c r="AH40" s="135">
        <f>ROUND(AA40*'Strategic level'!S66/1000*12*(0.1/0.2),-3)</f>
        <v>2935000</v>
      </c>
      <c r="AI40" s="135">
        <f>ROUND(AB40*'Strategic level'!T66/1000*12*(0.1/0.2),-3)</f>
        <v>3724000</v>
      </c>
      <c r="AJ40" s="135">
        <f>ROUND(AC40*'Strategic level'!U66/1000*12*(0.1/0.2),-3)</f>
        <v>4657000</v>
      </c>
      <c r="AK40" s="135">
        <f t="shared" ref="AK40:AK41" si="21">SUM(AD40:AJ40)</f>
        <v>16600000</v>
      </c>
      <c r="AL40" s="250" t="s">
        <v>716</v>
      </c>
    </row>
    <row r="41" spans="2:46" ht="313.5" x14ac:dyDescent="0.25">
      <c r="B41" s="184" t="s">
        <v>564</v>
      </c>
      <c r="C41" s="126" t="s">
        <v>1168</v>
      </c>
      <c r="D41" s="64" t="s">
        <v>736</v>
      </c>
      <c r="E41" s="126"/>
      <c r="F41" s="193"/>
      <c r="G41" s="193"/>
      <c r="H41" s="193"/>
      <c r="I41" s="193"/>
      <c r="J41" s="193"/>
      <c r="K41" s="193"/>
      <c r="L41" s="184" t="s">
        <v>565</v>
      </c>
      <c r="M41" s="130" t="s">
        <v>123</v>
      </c>
      <c r="N41" s="130"/>
      <c r="O41" s="130"/>
      <c r="P41" s="165" t="s">
        <v>203</v>
      </c>
      <c r="Q41" s="165" t="s">
        <v>203</v>
      </c>
      <c r="R41" s="165" t="s">
        <v>203</v>
      </c>
      <c r="S41" s="165" t="s">
        <v>203</v>
      </c>
      <c r="T41" s="165" t="s">
        <v>203</v>
      </c>
      <c r="U41" s="134"/>
      <c r="V41" s="134"/>
      <c r="W41" s="134"/>
      <c r="X41" s="135">
        <f>ROUND('StG 1'!X120*0.5*(('Strategic level'!P59+'Strategic level'!P60)*1000)/X32,-1)</f>
        <v>50</v>
      </c>
      <c r="Y41" s="135">
        <f>ROUND('StG 1'!Y120*0.5*(('Strategic level'!Q59+'Strategic level'!Q60)*1000)/Y32,-1)</f>
        <v>390</v>
      </c>
      <c r="Z41" s="135">
        <f>ROUND('StG 1'!Z120*0.5*(('Strategic level'!R59+'Strategic level'!R60)*1000)/Z32,-1)</f>
        <v>1040</v>
      </c>
      <c r="AA41" s="135">
        <f>ROUND('StG 1'!AA120*0.5*(('Strategic level'!S59+'Strategic level'!S60)*1000)/AA32,-1)</f>
        <v>2440</v>
      </c>
      <c r="AB41" s="135">
        <f>ROUND('StG 1'!AB120*0.5*(('Strategic level'!T59+'Strategic level'!T60)*1000)/AB32,-1)</f>
        <v>3790</v>
      </c>
      <c r="AC41" s="135">
        <f>ROUND('StG 1'!AC120*0.5*(('Strategic level'!U59+'Strategic level'!U60)*1000)/AC32,-1)</f>
        <v>6620</v>
      </c>
      <c r="AD41" s="136"/>
      <c r="AE41" s="135">
        <f>ROUND(X40*'Strategic level'!P66/1000*12*0.2,-3)</f>
        <v>515000</v>
      </c>
      <c r="AF41" s="135">
        <f>ROUND(Y40*'Strategic level'!Q66/1000*12*0.2,-3)</f>
        <v>689000</v>
      </c>
      <c r="AG41" s="135">
        <f>ROUND(Z40*'Strategic level'!R66/1000*12*0.2,-3)</f>
        <v>910000</v>
      </c>
      <c r="AH41" s="135">
        <f>ROUND(AA40*'Strategic level'!S66/1000*12*0.2,-3)</f>
        <v>1174000</v>
      </c>
      <c r="AI41" s="135">
        <f>ROUND(AB40*'Strategic level'!T66/1000*12*0.2,-3)</f>
        <v>1490000</v>
      </c>
      <c r="AJ41" s="135">
        <f>ROUND(AC40*'Strategic level'!U66/1000*12*0.2,-3)</f>
        <v>1863000</v>
      </c>
      <c r="AK41" s="135">
        <f t="shared" si="21"/>
        <v>6641000</v>
      </c>
      <c r="AL41" s="250" t="s">
        <v>726</v>
      </c>
    </row>
    <row r="42" spans="2:46" x14ac:dyDescent="0.25">
      <c r="B42" s="128" t="s">
        <v>566</v>
      </c>
      <c r="C42" s="129" t="s">
        <v>567</v>
      </c>
      <c r="D42" s="129"/>
      <c r="E42" s="129"/>
      <c r="F42" s="129"/>
      <c r="G42" s="129"/>
      <c r="H42" s="129"/>
      <c r="I42" s="129"/>
      <c r="J42" s="129"/>
      <c r="K42" s="129"/>
      <c r="L42" s="128"/>
      <c r="M42" s="129"/>
      <c r="N42" s="129"/>
      <c r="O42" s="129"/>
      <c r="P42" s="129"/>
      <c r="Q42" s="129"/>
      <c r="R42" s="129"/>
      <c r="S42" s="129"/>
      <c r="T42" s="129"/>
      <c r="U42" s="129" t="str">
        <f>IF(ISBLANK('Strategic level'!M106)," ",'Strategic level'!M106)</f>
        <v xml:space="preserve"> </v>
      </c>
      <c r="V42" s="129"/>
      <c r="W42" s="129" t="str">
        <f>IF(ISBLANK('Strategic level'!O106)," ",'Strategic level'!O106)</f>
        <v xml:space="preserve"> </v>
      </c>
      <c r="X42" s="129" t="str">
        <f>IF(ISBLANK('Strategic level'!P106)," ",'Strategic level'!P106)</f>
        <v xml:space="preserve"> </v>
      </c>
      <c r="Y42" s="129" t="str">
        <f>IF(ISBLANK('Strategic level'!Q106)," ",'Strategic level'!Q106)</f>
        <v xml:space="preserve"> </v>
      </c>
      <c r="Z42" s="129" t="str">
        <f>IF(ISBLANK('Strategic level'!R106)," ",'Strategic level'!R106)</f>
        <v xml:space="preserve"> </v>
      </c>
      <c r="AA42" s="129" t="str">
        <f>IF(ISBLANK('Strategic level'!S106)," ",'Strategic level'!S106)</f>
        <v xml:space="preserve"> </v>
      </c>
      <c r="AB42" s="129" t="str">
        <f>IF(ISBLANK('Strategic level'!T106)," ",'Strategic level'!T106)</f>
        <v xml:space="preserve"> </v>
      </c>
      <c r="AC42" s="129" t="str">
        <f>IF(ISBLANK('Strategic level'!U106)," ",'Strategic level'!U106)</f>
        <v xml:space="preserve"> </v>
      </c>
      <c r="AD42" s="261">
        <f>AD43</f>
        <v>50000</v>
      </c>
      <c r="AE42" s="261">
        <f t="shared" ref="AE42:AK42" si="22">AE43</f>
        <v>167000</v>
      </c>
      <c r="AF42" s="261">
        <f t="shared" si="22"/>
        <v>354000</v>
      </c>
      <c r="AG42" s="261">
        <f t="shared" si="22"/>
        <v>526000</v>
      </c>
      <c r="AH42" s="261">
        <f t="shared" si="22"/>
        <v>796000</v>
      </c>
      <c r="AI42" s="261">
        <f t="shared" si="22"/>
        <v>938000</v>
      </c>
      <c r="AJ42" s="261">
        <f t="shared" si="22"/>
        <v>1171000</v>
      </c>
      <c r="AK42" s="261">
        <f t="shared" si="22"/>
        <v>3927000</v>
      </c>
      <c r="AL42" s="262"/>
    </row>
    <row r="43" spans="2:46" ht="82.5" x14ac:dyDescent="0.25">
      <c r="B43" s="187" t="s">
        <v>568</v>
      </c>
      <c r="C43" s="90" t="s">
        <v>569</v>
      </c>
      <c r="D43" s="115"/>
      <c r="E43" s="115"/>
      <c r="F43" s="115"/>
      <c r="G43" s="115"/>
      <c r="H43" s="115"/>
      <c r="I43" s="115"/>
      <c r="J43" s="115"/>
      <c r="K43" s="115"/>
      <c r="L43" s="114" t="s">
        <v>570</v>
      </c>
      <c r="M43" s="201" t="s">
        <v>1169</v>
      </c>
      <c r="N43" s="201"/>
      <c r="O43" s="201"/>
      <c r="P43" s="140"/>
      <c r="Q43" s="140"/>
      <c r="R43" s="142">
        <v>0.62</v>
      </c>
      <c r="S43" s="140"/>
      <c r="T43" s="140"/>
      <c r="U43" s="127"/>
      <c r="V43" s="127"/>
      <c r="W43" s="127"/>
      <c r="X43" s="127">
        <f>R43*('Strategic level'!P63/'Strategic level'!O63)/('Strategic level'!P62/'Strategic level'!O62)</f>
        <v>0.67166666666666663</v>
      </c>
      <c r="Y43" s="127">
        <f>X43*('Strategic level'!Q63/'Strategic level'!P63)/('Strategic level'!Q62/'Strategic level'!P62)</f>
        <v>0.72141975308641959</v>
      </c>
      <c r="Z43" s="127">
        <f>Y43*('Strategic level'!R63/'Strategic level'!Q63)/('Strategic level'!R62/'Strategic level'!Q62)</f>
        <v>0.76817844078646524</v>
      </c>
      <c r="AA43" s="127">
        <f>Z43*('Strategic level'!S63/'Strategic level'!R63)/('Strategic level'!S62/'Strategic level'!R62)</f>
        <v>0.8108550208301577</v>
      </c>
      <c r="AB43" s="127">
        <f>AA43*('Strategic level'!T63/'Strategic level'!S63)/('Strategic level'!T62/'Strategic level'!S62)</f>
        <v>0.84088668826831159</v>
      </c>
      <c r="AC43" s="127">
        <f>AB43*('Strategic level'!U63/'Strategic level'!T63)/('Strategic level'!U62/'Strategic level'!T62)</f>
        <v>0.85645866397698389</v>
      </c>
      <c r="AD43" s="132">
        <f>AD44+AD45+AD46+AD47+AD48+AD49+AD50</f>
        <v>50000</v>
      </c>
      <c r="AE43" s="132">
        <f t="shared" ref="AE43:AK43" si="23">AE44+AE45+AE46+AE47+AE48+AE49+AE50</f>
        <v>167000</v>
      </c>
      <c r="AF43" s="132">
        <f t="shared" si="23"/>
        <v>354000</v>
      </c>
      <c r="AG43" s="132">
        <f t="shared" si="23"/>
        <v>526000</v>
      </c>
      <c r="AH43" s="132">
        <f t="shared" si="23"/>
        <v>796000</v>
      </c>
      <c r="AI43" s="132">
        <f t="shared" si="23"/>
        <v>938000</v>
      </c>
      <c r="AJ43" s="132">
        <f t="shared" si="23"/>
        <v>1171000</v>
      </c>
      <c r="AK43" s="132">
        <f t="shared" si="23"/>
        <v>3927000</v>
      </c>
      <c r="AL43" s="186"/>
      <c r="AP43" s="226">
        <f>ROUND(AJ43*1.04,-3)</f>
        <v>1218000</v>
      </c>
      <c r="AQ43" s="226">
        <f>ROUND(AP43*1.04,-3)</f>
        <v>1267000</v>
      </c>
      <c r="AR43" s="226">
        <f t="shared" ref="AR43:AT43" si="24">ROUND(AQ43*1.04,-3)</f>
        <v>1318000</v>
      </c>
      <c r="AS43" s="226">
        <f t="shared" si="24"/>
        <v>1371000</v>
      </c>
      <c r="AT43" s="226">
        <f t="shared" si="24"/>
        <v>1426000</v>
      </c>
    </row>
    <row r="44" spans="2:46" ht="132" x14ac:dyDescent="0.25">
      <c r="B44" s="184" t="s">
        <v>571</v>
      </c>
      <c r="C44" s="174" t="s">
        <v>1170</v>
      </c>
      <c r="D44" s="64" t="s">
        <v>1052</v>
      </c>
      <c r="E44" s="133"/>
      <c r="F44" s="126"/>
      <c r="G44" s="126"/>
      <c r="H44" s="126"/>
      <c r="I44" s="126"/>
      <c r="J44" s="126"/>
      <c r="K44" s="126"/>
      <c r="L44" s="184" t="s">
        <v>572</v>
      </c>
      <c r="M44" s="130" t="s">
        <v>573</v>
      </c>
      <c r="N44" s="130"/>
      <c r="O44" s="130"/>
      <c r="P44" s="165" t="s">
        <v>203</v>
      </c>
      <c r="Q44" s="165" t="s">
        <v>203</v>
      </c>
      <c r="R44" s="165" t="s">
        <v>203</v>
      </c>
      <c r="S44" s="165" t="s">
        <v>203</v>
      </c>
      <c r="T44" s="165" t="s">
        <v>203</v>
      </c>
      <c r="U44" s="134"/>
      <c r="V44" s="134"/>
      <c r="W44" s="134"/>
      <c r="X44" s="135">
        <f>ROUND('Strategic level'!P63*1000,-2)</f>
        <v>6700</v>
      </c>
      <c r="Y44" s="135">
        <f>ROUND('Strategic level'!Q63*1000,-2)</f>
        <v>7800</v>
      </c>
      <c r="Z44" s="135">
        <f>ROUND('Strategic level'!R63*1000,-2)</f>
        <v>9000</v>
      </c>
      <c r="AA44" s="135">
        <f>ROUND('Strategic level'!S63*1000,-2)</f>
        <v>10200</v>
      </c>
      <c r="AB44" s="135">
        <f>ROUND('Strategic level'!T63*1000,-2)</f>
        <v>11500</v>
      </c>
      <c r="AC44" s="135">
        <f>ROUND('Strategic level'!U63*1000,-2)</f>
        <v>12600</v>
      </c>
      <c r="AD44" s="135">
        <f>+Variables!M8</f>
        <v>50000</v>
      </c>
      <c r="AE44" s="136"/>
      <c r="AF44" s="136"/>
      <c r="AG44" s="136"/>
      <c r="AH44" s="136"/>
      <c r="AI44" s="136"/>
      <c r="AJ44" s="136"/>
      <c r="AK44" s="135">
        <f t="shared" ref="AK44:AK47" si="25">SUM(AD44:AJ44)</f>
        <v>50000</v>
      </c>
      <c r="AL44" s="130" t="s">
        <v>1171</v>
      </c>
    </row>
    <row r="45" spans="2:46" ht="165" x14ac:dyDescent="0.25">
      <c r="B45" s="184" t="s">
        <v>574</v>
      </c>
      <c r="C45" s="174" t="s">
        <v>1051</v>
      </c>
      <c r="D45" s="64" t="s">
        <v>1052</v>
      </c>
      <c r="E45" s="126"/>
      <c r="F45" s="133"/>
      <c r="G45" s="133"/>
      <c r="H45" s="133"/>
      <c r="I45" s="133"/>
      <c r="J45" s="133"/>
      <c r="K45" s="133"/>
      <c r="L45" s="184" t="s">
        <v>575</v>
      </c>
      <c r="M45" s="130" t="s">
        <v>452</v>
      </c>
      <c r="N45" s="130"/>
      <c r="O45" s="130"/>
      <c r="P45" s="165" t="s">
        <v>203</v>
      </c>
      <c r="Q45" s="165" t="s">
        <v>203</v>
      </c>
      <c r="R45" s="165" t="s">
        <v>203</v>
      </c>
      <c r="S45" s="165" t="s">
        <v>203</v>
      </c>
      <c r="T45" s="165" t="s">
        <v>203</v>
      </c>
      <c r="U45" s="134"/>
      <c r="V45" s="134"/>
      <c r="W45" s="134"/>
      <c r="X45" s="135">
        <f>ROUND(('Strategic level'!P63-'Strategic level'!O63)*1000*0.1,-1)</f>
        <v>100</v>
      </c>
      <c r="Y45" s="135">
        <f>ROUND(('Strategic level'!Q63-'Strategic level'!P63)*1000*0.15,-1)</f>
        <v>160</v>
      </c>
      <c r="Z45" s="135">
        <f>ROUND(('Strategic level'!R63-'Strategic level'!Q63)*1000*0.2,-1)</f>
        <v>230</v>
      </c>
      <c r="AA45" s="135">
        <f>ROUND(('Strategic level'!S63-'Strategic level'!R63)*1000*0.25,-1)</f>
        <v>310</v>
      </c>
      <c r="AB45" s="135">
        <f>ROUND(('Strategic level'!T63-'Strategic level'!S63)*1000*0.3,-1)</f>
        <v>370</v>
      </c>
      <c r="AC45" s="135">
        <f>ROUND(('Strategic level'!U63-'Strategic level'!T63)*1000*0.35,-1)</f>
        <v>400</v>
      </c>
      <c r="AD45" s="136"/>
      <c r="AE45" s="135">
        <f>ROUND(Variables!$M$9*X46,-3)</f>
        <v>20000</v>
      </c>
      <c r="AF45" s="135">
        <f>ROUND(Variables!$M$9*Y46,-3)</f>
        <v>27000</v>
      </c>
      <c r="AG45" s="135">
        <f>ROUND(Variables!$M$9*Z46,-3)</f>
        <v>35000</v>
      </c>
      <c r="AH45" s="135">
        <f>ROUND(Variables!$M$9*AA46,-3)</f>
        <v>44000</v>
      </c>
      <c r="AI45" s="135">
        <f>ROUND(Variables!$M$9*AB46,-3)</f>
        <v>49000</v>
      </c>
      <c r="AJ45" s="135">
        <f>ROUND(Variables!$M$9*AC46,-3)</f>
        <v>52000</v>
      </c>
      <c r="AK45" s="135">
        <f t="shared" si="25"/>
        <v>227000</v>
      </c>
      <c r="AL45" s="499" t="s">
        <v>1172</v>
      </c>
    </row>
    <row r="46" spans="2:46" ht="330" customHeight="1" x14ac:dyDescent="0.25">
      <c r="B46" s="436" t="s">
        <v>576</v>
      </c>
      <c r="C46" s="439" t="s">
        <v>1173</v>
      </c>
      <c r="D46" s="303" t="s">
        <v>1052</v>
      </c>
      <c r="E46" s="126"/>
      <c r="F46" s="133"/>
      <c r="G46" s="133"/>
      <c r="H46" s="133"/>
      <c r="I46" s="133"/>
      <c r="J46" s="133"/>
      <c r="K46" s="133"/>
      <c r="L46" s="184" t="s">
        <v>577</v>
      </c>
      <c r="M46" s="198" t="s">
        <v>452</v>
      </c>
      <c r="N46" s="130"/>
      <c r="O46" s="130"/>
      <c r="P46" s="165" t="s">
        <v>203</v>
      </c>
      <c r="Q46" s="165" t="s">
        <v>203</v>
      </c>
      <c r="R46" s="165" t="s">
        <v>203</v>
      </c>
      <c r="S46" s="165" t="s">
        <v>203</v>
      </c>
      <c r="T46" s="165" t="s">
        <v>203</v>
      </c>
      <c r="U46" s="134"/>
      <c r="V46" s="134"/>
      <c r="W46" s="134"/>
      <c r="X46" s="135">
        <f>ROUND(('Strategic level'!P63-'Strategic level'!O63)*1000*0.2,-1)</f>
        <v>200</v>
      </c>
      <c r="Y46" s="135">
        <f>ROUND(('Strategic level'!Q63-'Strategic level'!P63)*1000*0.25,-1)</f>
        <v>270</v>
      </c>
      <c r="Z46" s="135">
        <f>ROUND(('Strategic level'!R63-'Strategic level'!Q63)*1000*0.3,-1)</f>
        <v>350</v>
      </c>
      <c r="AA46" s="135">
        <f>ROUND(('Strategic level'!S63-'Strategic level'!R63)*1000*0.35,-1)</f>
        <v>440</v>
      </c>
      <c r="AB46" s="135">
        <f>ROUND(('Strategic level'!T63-'Strategic level'!S63)*1000*0.4,-1)</f>
        <v>490</v>
      </c>
      <c r="AC46" s="135">
        <f>ROUND(('Strategic level'!U63-'Strategic level'!T63)*1000*0.45,-1)</f>
        <v>520</v>
      </c>
      <c r="AD46" s="136"/>
      <c r="AE46" s="135">
        <f>ROUND(ROUND(X46*0.05,0)*Variables!M10+Variables!M11*X46,-3)</f>
        <v>60000</v>
      </c>
      <c r="AF46" s="135">
        <f>ROUND(ROUND(Y46*0.1,0)*Variables!M10+Variables!M11*Y46,-3)</f>
        <v>149000</v>
      </c>
      <c r="AG46" s="135">
        <f>ROUND(ROUND(Z46*0.1,0)*Variables!M10+Variables!M11*Z46,-3)</f>
        <v>193000</v>
      </c>
      <c r="AH46" s="135">
        <f>ROUND(ROUND(AA46*0.15,0)*Variables!M10+Variables!M11*AA46,-3)</f>
        <v>352000</v>
      </c>
      <c r="AI46" s="135">
        <f>ROUND(ROUND(AB46*0.15,0)*Variables!M10+Variables!M11*AB46,-3)</f>
        <v>395000</v>
      </c>
      <c r="AJ46" s="135">
        <f>ROUND(ROUND(AC46*0.2,0)*Variables!M10+Variables!M11*AC46,-3)</f>
        <v>546000</v>
      </c>
      <c r="AK46" s="135">
        <f t="shared" si="25"/>
        <v>1695000</v>
      </c>
      <c r="AL46" s="250" t="s">
        <v>1174</v>
      </c>
    </row>
    <row r="47" spans="2:46" ht="214.5" x14ac:dyDescent="0.25">
      <c r="B47" s="437"/>
      <c r="C47" s="440"/>
      <c r="D47" s="304"/>
      <c r="E47" s="126"/>
      <c r="F47" s="133"/>
      <c r="G47" s="133"/>
      <c r="H47" s="133"/>
      <c r="I47" s="133"/>
      <c r="J47" s="133"/>
      <c r="K47" s="133"/>
      <c r="L47" s="184" t="s">
        <v>1038</v>
      </c>
      <c r="M47" s="198" t="s">
        <v>123</v>
      </c>
      <c r="N47" s="130"/>
      <c r="O47" s="130"/>
      <c r="P47" s="165" t="s">
        <v>203</v>
      </c>
      <c r="Q47" s="165" t="s">
        <v>203</v>
      </c>
      <c r="R47" s="165" t="s">
        <v>203</v>
      </c>
      <c r="S47" s="165" t="s">
        <v>203</v>
      </c>
      <c r="T47" s="165" t="s">
        <v>203</v>
      </c>
      <c r="U47" s="134"/>
      <c r="V47" s="134"/>
      <c r="W47" s="134"/>
      <c r="X47" s="135">
        <f>X46</f>
        <v>200</v>
      </c>
      <c r="Y47" s="135">
        <f t="shared" ref="Y47:AC47" si="26">Y46</f>
        <v>270</v>
      </c>
      <c r="Z47" s="135">
        <f t="shared" si="26"/>
        <v>350</v>
      </c>
      <c r="AA47" s="135">
        <f t="shared" si="26"/>
        <v>440</v>
      </c>
      <c r="AB47" s="135">
        <f t="shared" si="26"/>
        <v>490</v>
      </c>
      <c r="AC47" s="135">
        <f t="shared" si="26"/>
        <v>520</v>
      </c>
      <c r="AD47" s="136"/>
      <c r="AE47" s="135">
        <f>ROUND(X47*52000*0.1*(0.18-0.13),-3)</f>
        <v>52000</v>
      </c>
      <c r="AF47" s="135">
        <f>ROUND(Y47*52000*0.1*(0.18-0.13),-3)+ROUND(X47*52000*0.1*(0.18-0.13),-3)</f>
        <v>122000</v>
      </c>
      <c r="AG47" s="135">
        <f>ROUND(Z47*52000*0.1*(0.18-0.13),-3)+ROUND(Y47*52000*0.1*(0.18-0.13),-3)+ROUND(X47*52000*0.1*(0.18-0.13),-3)</f>
        <v>213000</v>
      </c>
      <c r="AH47" s="135">
        <f>ROUND(AA47*52000*0.1*(0.18-0.13),-3)+ROUND(Z47*52000*0.1*(0.18-0.13),-3)+ROUND(Y47*52000*0.1*(0.18-0.13),-3)</f>
        <v>275000</v>
      </c>
      <c r="AI47" s="135">
        <f>ROUND(AB47*52000*0.1*(0.18-0.13),-3)+ROUND(AA47*52000*0.1*(0.18-0.13),-3)+ROUND(Z47*52000*0.1*(0.18-0.13),-3)</f>
        <v>332000</v>
      </c>
      <c r="AJ47" s="135">
        <f>ROUND(AC47*52000*0.1*(0.18-0.13),-3)+ROUND(AB47*52000*0.1*(0.18-0.13),-3)+ROUND(AA47*52000*0.1*(0.18-0.13),-3)</f>
        <v>376000</v>
      </c>
      <c r="AK47" s="135">
        <f t="shared" si="25"/>
        <v>1370000</v>
      </c>
      <c r="AL47" s="250" t="s">
        <v>1175</v>
      </c>
    </row>
    <row r="48" spans="2:46" ht="49.5" x14ac:dyDescent="0.25">
      <c r="B48" s="437"/>
      <c r="C48" s="440"/>
      <c r="D48" s="304"/>
      <c r="E48" s="185"/>
      <c r="F48" s="138"/>
      <c r="G48" s="138"/>
      <c r="H48" s="138"/>
      <c r="I48" s="138"/>
      <c r="J48" s="138"/>
      <c r="K48" s="138"/>
      <c r="L48" s="184" t="s">
        <v>1039</v>
      </c>
      <c r="M48" s="130" t="s">
        <v>131</v>
      </c>
      <c r="N48" s="130"/>
      <c r="O48" s="130"/>
      <c r="P48" s="165" t="s">
        <v>203</v>
      </c>
      <c r="Q48" s="165" t="s">
        <v>203</v>
      </c>
      <c r="R48" s="165" t="s">
        <v>203</v>
      </c>
      <c r="S48" s="165" t="s">
        <v>203</v>
      </c>
      <c r="T48" s="165" t="s">
        <v>203</v>
      </c>
      <c r="U48" s="134"/>
      <c r="V48" s="134"/>
      <c r="W48" s="134"/>
      <c r="X48" s="135">
        <f>ROUND(X47*0.1,0)</f>
        <v>20</v>
      </c>
      <c r="Y48" s="135">
        <f>ROUND(Y47*0.15,0)</f>
        <v>41</v>
      </c>
      <c r="Z48" s="135">
        <f>ROUND(Z47*0.2,0)</f>
        <v>70</v>
      </c>
      <c r="AA48" s="135">
        <f>ROUND(AA47*0.25,0)</f>
        <v>110</v>
      </c>
      <c r="AB48" s="135">
        <f>ROUND(AB47*0.3,0)</f>
        <v>147</v>
      </c>
      <c r="AC48" s="135">
        <f>ROUND(AC47*0.35,0)</f>
        <v>182</v>
      </c>
      <c r="AD48" s="442"/>
      <c r="AE48" s="297">
        <f>X49*0.1</f>
        <v>20000</v>
      </c>
      <c r="AF48" s="297">
        <f t="shared" ref="AF48:AJ48" si="27">Y49*0.1</f>
        <v>41000</v>
      </c>
      <c r="AG48" s="297">
        <f t="shared" si="27"/>
        <v>70000</v>
      </c>
      <c r="AH48" s="297">
        <f t="shared" si="27"/>
        <v>110000</v>
      </c>
      <c r="AI48" s="297">
        <f t="shared" si="27"/>
        <v>147000</v>
      </c>
      <c r="AJ48" s="297">
        <f t="shared" si="27"/>
        <v>182000</v>
      </c>
      <c r="AK48" s="297">
        <f>SUM(AD48:AJ49)</f>
        <v>570000</v>
      </c>
      <c r="AL48" s="380" t="s">
        <v>727</v>
      </c>
    </row>
    <row r="49" spans="2:38" ht="49.5" x14ac:dyDescent="0.25">
      <c r="B49" s="438"/>
      <c r="C49" s="441"/>
      <c r="D49" s="305"/>
      <c r="E49" s="185"/>
      <c r="F49" s="138"/>
      <c r="G49" s="138"/>
      <c r="H49" s="138"/>
      <c r="I49" s="138"/>
      <c r="J49" s="138"/>
      <c r="K49" s="138"/>
      <c r="L49" s="184" t="s">
        <v>1040</v>
      </c>
      <c r="M49" s="130" t="s">
        <v>132</v>
      </c>
      <c r="N49" s="130"/>
      <c r="O49" s="130"/>
      <c r="P49" s="165" t="s">
        <v>203</v>
      </c>
      <c r="Q49" s="165" t="s">
        <v>203</v>
      </c>
      <c r="R49" s="165" t="s">
        <v>203</v>
      </c>
      <c r="S49" s="165" t="s">
        <v>203</v>
      </c>
      <c r="T49" s="165" t="s">
        <v>203</v>
      </c>
      <c r="U49" s="134"/>
      <c r="V49" s="134"/>
      <c r="W49" s="134"/>
      <c r="X49" s="135">
        <f>X48*10000</f>
        <v>200000</v>
      </c>
      <c r="Y49" s="135">
        <f t="shared" ref="Y49:AC49" si="28">Y48*10000</f>
        <v>410000</v>
      </c>
      <c r="Z49" s="135">
        <f t="shared" si="28"/>
        <v>700000</v>
      </c>
      <c r="AA49" s="135">
        <f t="shared" si="28"/>
        <v>1100000</v>
      </c>
      <c r="AB49" s="135">
        <f t="shared" si="28"/>
        <v>1470000</v>
      </c>
      <c r="AC49" s="135">
        <f t="shared" si="28"/>
        <v>1820000</v>
      </c>
      <c r="AD49" s="443"/>
      <c r="AE49" s="299"/>
      <c r="AF49" s="299"/>
      <c r="AG49" s="299"/>
      <c r="AH49" s="299"/>
      <c r="AI49" s="299"/>
      <c r="AJ49" s="299"/>
      <c r="AK49" s="299"/>
      <c r="AL49" s="382"/>
    </row>
    <row r="50" spans="2:38" ht="82.5" x14ac:dyDescent="0.25">
      <c r="B50" s="184" t="s">
        <v>578</v>
      </c>
      <c r="C50" s="118" t="s">
        <v>1176</v>
      </c>
      <c r="D50" s="64" t="s">
        <v>740</v>
      </c>
      <c r="E50" s="126"/>
      <c r="F50" s="133"/>
      <c r="G50" s="133"/>
      <c r="H50" s="133"/>
      <c r="I50" s="133"/>
      <c r="J50" s="133"/>
      <c r="K50" s="133"/>
      <c r="L50" s="184" t="s">
        <v>579</v>
      </c>
      <c r="M50" s="130" t="s">
        <v>580</v>
      </c>
      <c r="N50" s="130"/>
      <c r="O50" s="130"/>
      <c r="P50" s="165" t="s">
        <v>203</v>
      </c>
      <c r="Q50" s="165" t="s">
        <v>203</v>
      </c>
      <c r="R50" s="165" t="s">
        <v>203</v>
      </c>
      <c r="S50" s="165" t="s">
        <v>203</v>
      </c>
      <c r="T50" s="165" t="s">
        <v>203</v>
      </c>
      <c r="U50" s="134"/>
      <c r="V50" s="134"/>
      <c r="W50" s="134"/>
      <c r="X50" s="135">
        <f>ROUND(0.1*'Strategic level'!P63*1000,-2)</f>
        <v>700</v>
      </c>
      <c r="Y50" s="135">
        <f>ROUND(0.15*'Strategic level'!Q63*1000,-2)</f>
        <v>1200</v>
      </c>
      <c r="Z50" s="135">
        <f>ROUND(0.2*'Strategic level'!R63*1000,-2)</f>
        <v>1800</v>
      </c>
      <c r="AA50" s="135">
        <f>ROUND(0.25*'Strategic level'!S63*1000,-2)</f>
        <v>2600</v>
      </c>
      <c r="AB50" s="135">
        <f>ROUND(0.3*'Strategic level'!T63*1000,-2)</f>
        <v>3400</v>
      </c>
      <c r="AC50" s="135">
        <f>ROUND(0.35*'Strategic level'!U63*1000,-2)</f>
        <v>4400</v>
      </c>
      <c r="AD50" s="136"/>
      <c r="AE50" s="135">
        <f>3*5000</f>
        <v>15000</v>
      </c>
      <c r="AF50" s="135">
        <f t="shared" ref="AF50:AK50" si="29">3*5000</f>
        <v>15000</v>
      </c>
      <c r="AG50" s="135">
        <f t="shared" si="29"/>
        <v>15000</v>
      </c>
      <c r="AH50" s="135">
        <f t="shared" si="29"/>
        <v>15000</v>
      </c>
      <c r="AI50" s="135">
        <f t="shared" si="29"/>
        <v>15000</v>
      </c>
      <c r="AJ50" s="135">
        <f t="shared" si="29"/>
        <v>15000</v>
      </c>
      <c r="AK50" s="135">
        <f t="shared" si="29"/>
        <v>15000</v>
      </c>
      <c r="AL50" s="250" t="s">
        <v>728</v>
      </c>
    </row>
  </sheetData>
  <dataConsolidate/>
  <mergeCells count="118">
    <mergeCell ref="AP2:AT2"/>
    <mergeCell ref="AP4:AP7"/>
    <mergeCell ref="AQ4:AQ7"/>
    <mergeCell ref="AR4:AR7"/>
    <mergeCell ref="AS4:AS7"/>
    <mergeCell ref="AT4:AT7"/>
    <mergeCell ref="AD2:AK2"/>
    <mergeCell ref="AD4:AD7"/>
    <mergeCell ref="B37:B39"/>
    <mergeCell ref="C37:C39"/>
    <mergeCell ref="P2:T2"/>
    <mergeCell ref="U2:AC2"/>
    <mergeCell ref="AJ4:AJ7"/>
    <mergeCell ref="AK4:AK7"/>
    <mergeCell ref="AL4:AL7"/>
    <mergeCell ref="AD12:AD14"/>
    <mergeCell ref="AE12:AE14"/>
    <mergeCell ref="AF12:AF14"/>
    <mergeCell ref="AG12:AG14"/>
    <mergeCell ref="AH12:AH14"/>
    <mergeCell ref="AI12:AI14"/>
    <mergeCell ref="AJ12:AJ14"/>
    <mergeCell ref="AK12:AK14"/>
    <mergeCell ref="AL12:AL14"/>
    <mergeCell ref="B12:B14"/>
    <mergeCell ref="C12:C14"/>
    <mergeCell ref="B17:B18"/>
    <mergeCell ref="C17:C18"/>
    <mergeCell ref="B20:B34"/>
    <mergeCell ref="C20:C34"/>
    <mergeCell ref="E2:K2"/>
    <mergeCell ref="B4:B7"/>
    <mergeCell ref="C4:C7"/>
    <mergeCell ref="D4:D7"/>
    <mergeCell ref="E4:E7"/>
    <mergeCell ref="F4:F7"/>
    <mergeCell ref="G4:G7"/>
    <mergeCell ref="H4:H7"/>
    <mergeCell ref="I4:I7"/>
    <mergeCell ref="J4:J7"/>
    <mergeCell ref="K4:K7"/>
    <mergeCell ref="D12:D14"/>
    <mergeCell ref="E12:E14"/>
    <mergeCell ref="F12:F14"/>
    <mergeCell ref="G12:G14"/>
    <mergeCell ref="H12:H14"/>
    <mergeCell ref="C19:L19"/>
    <mergeCell ref="AE4:AE7"/>
    <mergeCell ref="AF4:AF7"/>
    <mergeCell ref="AG4:AG7"/>
    <mergeCell ref="AH4:AH7"/>
    <mergeCell ref="AI4:AI7"/>
    <mergeCell ref="I12:I14"/>
    <mergeCell ref="J12:J14"/>
    <mergeCell ref="K12:K14"/>
    <mergeCell ref="AD17:AD18"/>
    <mergeCell ref="AJ17:AJ18"/>
    <mergeCell ref="AK17:AK18"/>
    <mergeCell ref="AL17:AL18"/>
    <mergeCell ref="K20:K34"/>
    <mergeCell ref="D20:D34"/>
    <mergeCell ref="E20:E34"/>
    <mergeCell ref="F20:F34"/>
    <mergeCell ref="G20:G34"/>
    <mergeCell ref="H20:H34"/>
    <mergeCell ref="I20:I34"/>
    <mergeCell ref="J20:J34"/>
    <mergeCell ref="AD20:AD34"/>
    <mergeCell ref="AE20:AE34"/>
    <mergeCell ref="AF20:AF34"/>
    <mergeCell ref="AG20:AG34"/>
    <mergeCell ref="AH20:AH34"/>
    <mergeCell ref="AE17:AE18"/>
    <mergeCell ref="AF17:AF18"/>
    <mergeCell ref="AG17:AG18"/>
    <mergeCell ref="AH17:AH18"/>
    <mergeCell ref="AI17:AI18"/>
    <mergeCell ref="AI20:AI34"/>
    <mergeCell ref="AJ20:AJ34"/>
    <mergeCell ref="AK20:AK34"/>
    <mergeCell ref="AL20:AL34"/>
    <mergeCell ref="AD37:AD39"/>
    <mergeCell ref="AE37:AE39"/>
    <mergeCell ref="AF37:AF39"/>
    <mergeCell ref="AG37:AG39"/>
    <mergeCell ref="AH37:AH39"/>
    <mergeCell ref="AI37:AI39"/>
    <mergeCell ref="AJ37:AJ39"/>
    <mergeCell ref="AK37:AK39"/>
    <mergeCell ref="AL37:AL39"/>
    <mergeCell ref="AI48:AI49"/>
    <mergeCell ref="AJ48:AJ49"/>
    <mergeCell ref="AK48:AK49"/>
    <mergeCell ref="AL48:AL49"/>
    <mergeCell ref="AD48:AD49"/>
    <mergeCell ref="AE48:AE49"/>
    <mergeCell ref="AF48:AF49"/>
    <mergeCell ref="AG48:AG49"/>
    <mergeCell ref="AH48:AH49"/>
    <mergeCell ref="B46:B49"/>
    <mergeCell ref="C46:C49"/>
    <mergeCell ref="I37:I39"/>
    <mergeCell ref="J37:J39"/>
    <mergeCell ref="K37:K39"/>
    <mergeCell ref="E17:E18"/>
    <mergeCell ref="D17:D18"/>
    <mergeCell ref="F17:F18"/>
    <mergeCell ref="G17:G18"/>
    <mergeCell ref="H17:H18"/>
    <mergeCell ref="I17:I18"/>
    <mergeCell ref="J17:J18"/>
    <mergeCell ref="K17:K18"/>
    <mergeCell ref="E37:E39"/>
    <mergeCell ref="D37:D39"/>
    <mergeCell ref="F37:F39"/>
    <mergeCell ref="G37:G39"/>
    <mergeCell ref="H37:H39"/>
    <mergeCell ref="D46:D4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20"/>
  <sheetViews>
    <sheetView zoomScale="80" zoomScaleNormal="80" workbookViewId="0">
      <pane xSplit="3" ySplit="3" topLeftCell="AF4" activePane="bottomRight" state="frozen"/>
      <selection pane="topRight" activeCell="D1" sqref="D1"/>
      <selection pane="bottomLeft" activeCell="A4" sqref="A4"/>
      <selection pane="bottomRight" activeCell="D20" sqref="D20"/>
    </sheetView>
  </sheetViews>
  <sheetFormatPr defaultColWidth="8.85546875" defaultRowHeight="16.5" x14ac:dyDescent="0.25"/>
  <cols>
    <col min="1" max="1" width="3.42578125" style="148" customWidth="1"/>
    <col min="2" max="2" width="20.7109375" style="153" customWidth="1"/>
    <col min="3" max="3" width="50.7109375" style="152" customWidth="1"/>
    <col min="4" max="4" width="30.7109375" style="152" customWidth="1"/>
    <col min="5" max="5" width="7.42578125" style="152" customWidth="1"/>
    <col min="6" max="10" width="7.5703125" style="152" bestFit="1" customWidth="1"/>
    <col min="11" max="11" width="7.5703125" style="152" customWidth="1"/>
    <col min="12" max="12" width="20.7109375" style="153" customWidth="1"/>
    <col min="13" max="13" width="38.7109375" style="152" customWidth="1"/>
    <col min="14" max="14" width="39.7109375" style="152" customWidth="1"/>
    <col min="15" max="15" width="50.7109375" style="152" customWidth="1"/>
    <col min="16" max="19" width="9.42578125" style="153" bestFit="1" customWidth="1"/>
    <col min="20" max="20" width="9.42578125" style="153" bestFit="1" customWidth="1" collapsed="1"/>
    <col min="21" max="21" width="8.42578125" style="148" bestFit="1" customWidth="1"/>
    <col min="22" max="22" width="8.28515625" style="148" customWidth="1"/>
    <col min="23" max="23" width="8" style="148" bestFit="1" customWidth="1"/>
    <col min="24" max="24" width="11.7109375" style="148" bestFit="1" customWidth="1"/>
    <col min="25" max="25" width="11.42578125" style="148" bestFit="1" customWidth="1"/>
    <col min="26" max="26" width="12" style="148" bestFit="1" customWidth="1"/>
    <col min="27" max="28" width="12.85546875" style="148" bestFit="1" customWidth="1"/>
    <col min="29" max="29" width="12.7109375" style="148" bestFit="1" customWidth="1"/>
    <col min="30" max="30" width="15.140625" style="156" bestFit="1" customWidth="1"/>
    <col min="31" max="32" width="18.7109375" style="156" bestFit="1" customWidth="1"/>
    <col min="33" max="35" width="19" style="156" bestFit="1" customWidth="1"/>
    <col min="36" max="36" width="18.7109375" style="156" bestFit="1" customWidth="1"/>
    <col min="37" max="37" width="20.42578125" style="156" bestFit="1" customWidth="1"/>
    <col min="38" max="38" width="30.85546875" style="157" customWidth="1"/>
    <col min="39" max="39" width="9" style="148" bestFit="1" customWidth="1"/>
    <col min="40" max="40" width="8.85546875" style="148"/>
    <col min="41" max="41" width="9" style="148" bestFit="1" customWidth="1"/>
    <col min="42" max="42" width="16.28515625" style="148" bestFit="1" customWidth="1"/>
    <col min="43" max="43" width="16.5703125" style="148" bestFit="1" customWidth="1"/>
    <col min="44" max="45" width="17.28515625" style="148" bestFit="1" customWidth="1"/>
    <col min="46" max="46" width="16.5703125" style="148" bestFit="1" customWidth="1"/>
    <col min="47" max="16384" width="8.85546875" style="148"/>
  </cols>
  <sheetData>
    <row r="1" spans="2:46" x14ac:dyDescent="0.25">
      <c r="N1" s="148"/>
      <c r="O1" s="148"/>
      <c r="P1" s="148"/>
      <c r="Q1" s="148"/>
      <c r="R1" s="148"/>
      <c r="S1" s="148"/>
      <c r="T1" s="148"/>
      <c r="AD1" s="148"/>
      <c r="AE1" s="148"/>
      <c r="AF1" s="148"/>
      <c r="AG1" s="148"/>
      <c r="AH1" s="148"/>
      <c r="AI1" s="148"/>
      <c r="AJ1" s="148"/>
      <c r="AK1" s="148"/>
      <c r="AL1" s="148"/>
    </row>
    <row r="2" spans="2:46" s="158" customFormat="1" ht="49.5" x14ac:dyDescent="0.25">
      <c r="B2" s="181" t="s">
        <v>40</v>
      </c>
      <c r="C2" s="181" t="s">
        <v>160</v>
      </c>
      <c r="D2" s="181" t="s">
        <v>337</v>
      </c>
      <c r="E2" s="287" t="s">
        <v>338</v>
      </c>
      <c r="F2" s="287"/>
      <c r="G2" s="287"/>
      <c r="H2" s="287"/>
      <c r="I2" s="287"/>
      <c r="J2" s="287"/>
      <c r="K2" s="287"/>
      <c r="L2" s="181" t="s">
        <v>41</v>
      </c>
      <c r="M2" s="181" t="s">
        <v>42</v>
      </c>
      <c r="N2" s="181" t="s">
        <v>238</v>
      </c>
      <c r="O2" s="181" t="s">
        <v>43</v>
      </c>
      <c r="P2" s="287" t="s">
        <v>44</v>
      </c>
      <c r="Q2" s="287"/>
      <c r="R2" s="287"/>
      <c r="S2" s="287"/>
      <c r="T2" s="287"/>
      <c r="U2" s="287" t="s">
        <v>336</v>
      </c>
      <c r="V2" s="287"/>
      <c r="W2" s="287"/>
      <c r="X2" s="287"/>
      <c r="Y2" s="287"/>
      <c r="Z2" s="287"/>
      <c r="AA2" s="287"/>
      <c r="AB2" s="287"/>
      <c r="AC2" s="287"/>
      <c r="AD2" s="294" t="s">
        <v>339</v>
      </c>
      <c r="AE2" s="295"/>
      <c r="AF2" s="295"/>
      <c r="AG2" s="295"/>
      <c r="AH2" s="295"/>
      <c r="AI2" s="295"/>
      <c r="AJ2" s="295"/>
      <c r="AK2" s="296"/>
      <c r="AL2" s="181" t="s">
        <v>350</v>
      </c>
      <c r="AP2" s="294" t="s">
        <v>952</v>
      </c>
      <c r="AQ2" s="295"/>
      <c r="AR2" s="295"/>
      <c r="AS2" s="295"/>
      <c r="AT2" s="296"/>
    </row>
    <row r="3" spans="2:46" s="158" customFormat="1" x14ac:dyDescent="0.25">
      <c r="B3" s="181"/>
      <c r="C3" s="145"/>
      <c r="D3" s="145"/>
      <c r="E3" s="181">
        <v>2025</v>
      </c>
      <c r="F3" s="181">
        <f>+E3+1</f>
        <v>2026</v>
      </c>
      <c r="G3" s="181">
        <f t="shared" ref="G3:K3" si="0">+F3+1</f>
        <v>2027</v>
      </c>
      <c r="H3" s="181">
        <f t="shared" si="0"/>
        <v>2028</v>
      </c>
      <c r="I3" s="181">
        <f t="shared" si="0"/>
        <v>2029</v>
      </c>
      <c r="J3" s="181">
        <f t="shared" si="0"/>
        <v>2030</v>
      </c>
      <c r="K3" s="181">
        <f t="shared" si="0"/>
        <v>2031</v>
      </c>
      <c r="L3" s="181"/>
      <c r="M3" s="146"/>
      <c r="N3" s="146"/>
      <c r="O3" s="146"/>
      <c r="P3" s="181">
        <v>2018</v>
      </c>
      <c r="Q3" s="181">
        <v>2019</v>
      </c>
      <c r="R3" s="181">
        <v>2020</v>
      </c>
      <c r="S3" s="181">
        <v>2021</v>
      </c>
      <c r="T3" s="181">
        <v>2022</v>
      </c>
      <c r="U3" s="181">
        <v>2023</v>
      </c>
      <c r="V3" s="181">
        <f>+U3+1</f>
        <v>2024</v>
      </c>
      <c r="W3" s="181">
        <f t="shared" ref="W3:AC3" si="1">+V3+1</f>
        <v>2025</v>
      </c>
      <c r="X3" s="181">
        <f t="shared" si="1"/>
        <v>2026</v>
      </c>
      <c r="Y3" s="181">
        <f t="shared" si="1"/>
        <v>2027</v>
      </c>
      <c r="Z3" s="181">
        <f t="shared" si="1"/>
        <v>2028</v>
      </c>
      <c r="AA3" s="181">
        <f t="shared" si="1"/>
        <v>2029</v>
      </c>
      <c r="AB3" s="181">
        <f t="shared" si="1"/>
        <v>2030</v>
      </c>
      <c r="AC3" s="181">
        <f t="shared" si="1"/>
        <v>2031</v>
      </c>
      <c r="AD3" s="181">
        <v>2025</v>
      </c>
      <c r="AE3" s="181">
        <f>+AD3+1</f>
        <v>2026</v>
      </c>
      <c r="AF3" s="181">
        <f t="shared" ref="AF3:AJ3" si="2">+AE3+1</f>
        <v>2027</v>
      </c>
      <c r="AG3" s="181">
        <f t="shared" si="2"/>
        <v>2028</v>
      </c>
      <c r="AH3" s="181">
        <f t="shared" si="2"/>
        <v>2029</v>
      </c>
      <c r="AI3" s="181">
        <f t="shared" si="2"/>
        <v>2030</v>
      </c>
      <c r="AJ3" s="181">
        <f t="shared" si="2"/>
        <v>2031</v>
      </c>
      <c r="AK3" s="181" t="s">
        <v>708</v>
      </c>
      <c r="AL3" s="181"/>
      <c r="AP3" s="171">
        <v>2031</v>
      </c>
      <c r="AQ3" s="171">
        <v>2032</v>
      </c>
      <c r="AR3" s="171">
        <v>2033</v>
      </c>
      <c r="AS3" s="171">
        <v>2034</v>
      </c>
      <c r="AT3" s="171">
        <v>2035</v>
      </c>
    </row>
    <row r="4" spans="2:46" ht="99" x14ac:dyDescent="0.25">
      <c r="B4" s="354" t="s">
        <v>4</v>
      </c>
      <c r="C4" s="401" t="s">
        <v>993</v>
      </c>
      <c r="D4" s="389"/>
      <c r="E4" s="389"/>
      <c r="F4" s="389"/>
      <c r="G4" s="389"/>
      <c r="H4" s="389"/>
      <c r="I4" s="389"/>
      <c r="J4" s="389"/>
      <c r="K4" s="389"/>
      <c r="L4" s="189" t="s">
        <v>73</v>
      </c>
      <c r="M4" s="188" t="s">
        <v>330</v>
      </c>
      <c r="N4" s="188"/>
      <c r="O4" s="188" t="str">
        <f>'Strategic level'!G67</f>
        <v>Ընտանեկան և սոցիալական նպաստ ստացող ընտանիքների չափահաս անդամների թվում ֆունկցիոնալության սահմանափակում չունեցող չափահաս անձանց մասնաբաժինը (ՀՀ ընդամենը)</v>
      </c>
      <c r="P4" s="147" t="str">
        <f>IF(ISBLANK('Strategic level'!H67)," ",'Strategic level'!H67)</f>
        <v xml:space="preserve"> </v>
      </c>
      <c r="Q4" s="147" t="str">
        <f>IF(ISBLANK('Strategic level'!I67)," ",'Strategic level'!I67)</f>
        <v xml:space="preserve"> </v>
      </c>
      <c r="R4" s="147" t="str">
        <f>IF(ISBLANK('Strategic level'!J67)," ",'Strategic level'!J67)</f>
        <v xml:space="preserve"> </v>
      </c>
      <c r="S4" s="147" t="str">
        <f>IF(ISBLANK('Strategic level'!K67)," ",'Strategic level'!K67)</f>
        <v xml:space="preserve"> </v>
      </c>
      <c r="T4" s="147" t="str">
        <f>IF(ISBLANK('Strategic level'!L67)," ",'Strategic level'!L67)</f>
        <v xml:space="preserve"> </v>
      </c>
      <c r="U4" s="454" t="str">
        <f>IF(ISBLANK('Strategic level'!M67)," ",'Strategic level'!M67)</f>
        <v>Կհաշվարկվի ֆունկցիոնալության գնահատման համակարգը ներդնելուց և տվյալներ ստանալուց հետո</v>
      </c>
      <c r="V4" s="454"/>
      <c r="W4" s="454"/>
      <c r="X4" s="454"/>
      <c r="Y4" s="454"/>
      <c r="Z4" s="454"/>
      <c r="AA4" s="454"/>
      <c r="AB4" s="454"/>
      <c r="AC4" s="454"/>
      <c r="AD4" s="367">
        <f t="shared" ref="AD4:AK4" si="3">AD7+AD14</f>
        <v>30000</v>
      </c>
      <c r="AE4" s="367">
        <f t="shared" si="3"/>
        <v>1548000</v>
      </c>
      <c r="AF4" s="367">
        <f t="shared" si="3"/>
        <v>1403000</v>
      </c>
      <c r="AG4" s="367">
        <f t="shared" si="3"/>
        <v>9990000</v>
      </c>
      <c r="AH4" s="367">
        <f t="shared" si="3"/>
        <v>9720000</v>
      </c>
      <c r="AI4" s="367">
        <f t="shared" si="3"/>
        <v>9450000</v>
      </c>
      <c r="AJ4" s="367">
        <f t="shared" si="3"/>
        <v>9180000</v>
      </c>
      <c r="AK4" s="367">
        <f t="shared" si="3"/>
        <v>41321000</v>
      </c>
      <c r="AL4" s="444"/>
      <c r="AP4" s="455">
        <f>SUM(AP7:AP1048576)</f>
        <v>9547000</v>
      </c>
      <c r="AQ4" s="455">
        <f t="shared" ref="AQ4:AT4" si="4">SUM(AQ7:AQ1048576)</f>
        <v>9929000</v>
      </c>
      <c r="AR4" s="455">
        <f t="shared" si="4"/>
        <v>10326000</v>
      </c>
      <c r="AS4" s="455">
        <f t="shared" si="4"/>
        <v>10739000</v>
      </c>
      <c r="AT4" s="455">
        <f t="shared" si="4"/>
        <v>11169000</v>
      </c>
    </row>
    <row r="5" spans="2:46" ht="99" x14ac:dyDescent="0.25">
      <c r="B5" s="354"/>
      <c r="C5" s="401"/>
      <c r="D5" s="390"/>
      <c r="E5" s="390"/>
      <c r="F5" s="390"/>
      <c r="G5" s="390"/>
      <c r="H5" s="390"/>
      <c r="I5" s="390"/>
      <c r="J5" s="390"/>
      <c r="K5" s="390"/>
      <c r="L5" s="189" t="s">
        <v>157</v>
      </c>
      <c r="M5" s="188" t="s">
        <v>222</v>
      </c>
      <c r="N5" s="188" t="str">
        <f>'Strategic level'!F68</f>
        <v>Պետական բյուջեի հաշվետվություն, ՀՀ ֆինանսների նախարարություն</v>
      </c>
      <c r="O5" s="188" t="str">
        <f>'Strategic level'!G68</f>
        <v>ՀՀ պետական բյուջեի` ընտանիքի կենսամակարդակի բարձրացմանն ուղղված նպաստների գծով ծախսերի հարաբերությունը եկամտային հարկի գծով եկամուտների մեծությանը (փաստացի, ընթացիկ գներով)</v>
      </c>
      <c r="P5" s="147">
        <f>IF(ISBLANK('Strategic level'!H68)," ",'Strategic level'!H68)</f>
        <v>9.6871514585710625E-2</v>
      </c>
      <c r="Q5" s="147">
        <f>IF(ISBLANK('Strategic level'!I68)," ",'Strategic level'!I68)</f>
        <v>7.1175406390166326E-2</v>
      </c>
      <c r="R5" s="147">
        <f>IF(ISBLANK('Strategic level'!J68)," ",'Strategic level'!J68)</f>
        <v>7.4053785492370253E-2</v>
      </c>
      <c r="S5" s="147">
        <f>IF(ISBLANK('Strategic level'!K68)," ",'Strategic level'!K68)</f>
        <v>7.0566327562319398E-2</v>
      </c>
      <c r="T5" s="147">
        <f>IF(ISBLANK('Strategic level'!L68)," ",'Strategic level'!L68)</f>
        <v>5.736406679135285E-2</v>
      </c>
      <c r="U5" s="147">
        <f>IF(ISBLANK('Strategic level'!M68)," ",'Strategic level'!M68)</f>
        <v>6.88034080024678E-2</v>
      </c>
      <c r="V5" s="147">
        <f>+(U5+W5)/2</f>
        <v>5.3338613013820743E-2</v>
      </c>
      <c r="W5" s="147">
        <f>IF(ISBLANK('Strategic level'!O68)," ",'Strategic level'!O68)</f>
        <v>3.7873818025173686E-2</v>
      </c>
      <c r="X5" s="147">
        <f>IF(ISBLANK('Strategic level'!P68)," ",'Strategic level'!P68)</f>
        <v>3.2899936487754917E-2</v>
      </c>
      <c r="Y5" s="147">
        <f>IF(ISBLANK('Strategic level'!Q68)," ",'Strategic level'!Q68)</f>
        <v>2.8440529100961703E-2</v>
      </c>
      <c r="Z5" s="147">
        <f>IF(ISBLANK('Strategic level'!R68)," ",'Strategic level'!R68)</f>
        <v>1.4362538191441268E-2</v>
      </c>
      <c r="AA5" s="147">
        <f>IF(ISBLANK('Strategic level'!S68)," ",'Strategic level'!S68)</f>
        <v>1.2415774284226706E-2</v>
      </c>
      <c r="AB5" s="147">
        <f>IF(ISBLANK('Strategic level'!T68)," ",'Strategic level'!T68)</f>
        <v>1.0732883632554934E-2</v>
      </c>
      <c r="AC5" s="147">
        <f>IF(ISBLANK('Strategic level'!U68)," ",'Strategic level'!U68)</f>
        <v>9.2780996523359645E-3</v>
      </c>
      <c r="AD5" s="368"/>
      <c r="AE5" s="368"/>
      <c r="AF5" s="368"/>
      <c r="AG5" s="368"/>
      <c r="AH5" s="368"/>
      <c r="AI5" s="368"/>
      <c r="AJ5" s="368"/>
      <c r="AK5" s="368"/>
      <c r="AL5" s="445"/>
      <c r="AP5" s="455"/>
      <c r="AQ5" s="455"/>
      <c r="AR5" s="455"/>
      <c r="AS5" s="455"/>
      <c r="AT5" s="455"/>
    </row>
    <row r="6" spans="2:46" ht="99" x14ac:dyDescent="0.25">
      <c r="B6" s="354"/>
      <c r="C6" s="401"/>
      <c r="D6" s="391"/>
      <c r="E6" s="391"/>
      <c r="F6" s="391"/>
      <c r="G6" s="391"/>
      <c r="H6" s="391"/>
      <c r="I6" s="391"/>
      <c r="J6" s="391"/>
      <c r="K6" s="391"/>
      <c r="L6" s="189" t="s">
        <v>167</v>
      </c>
      <c r="M6" s="188" t="s">
        <v>1108</v>
      </c>
      <c r="N6" s="188" t="str">
        <f>'Strategic level'!F71</f>
        <v>Պետական բյուջեի հաշվետվություն, ՀՀ ֆինանսների նախարարություն, ՀՀ սոցիալ-տնտեսական վիճակը, Արմստատ</v>
      </c>
      <c r="O6" s="188" t="str">
        <f>'Strategic level'!G71</f>
        <v>Հանրային աշխատանքներում ընդգրկված անձանց թվաքանակի հարաբերությունը ընտանեկան ու սոցիալական  նպաստ ստացող ընտանիքների թվաքանակին (ՀՀ ընդամենը)</v>
      </c>
      <c r="P6" s="147">
        <f>IF(ISBLANK('Strategic level'!H71)," ",'Strategic level'!H71)</f>
        <v>0</v>
      </c>
      <c r="Q6" s="147">
        <f>IF(ISBLANK('Strategic level'!I71)," ",'Strategic level'!I71)</f>
        <v>1.0615218627098391E-2</v>
      </c>
      <c r="R6" s="147">
        <f>IF(ISBLANK('Strategic level'!J71)," ",'Strategic level'!J71)</f>
        <v>6.5342183671356427E-3</v>
      </c>
      <c r="S6" s="147">
        <f>IF(ISBLANK('Strategic level'!K71)," ",'Strategic level'!K71)</f>
        <v>0</v>
      </c>
      <c r="T6" s="147">
        <f>IF(ISBLANK('Strategic level'!L71)," ",'Strategic level'!L71)</f>
        <v>0</v>
      </c>
      <c r="U6" s="147">
        <f>IF(ISBLANK('Strategic level'!M71)," ",'Strategic level'!M71)</f>
        <v>0</v>
      </c>
      <c r="V6" s="147">
        <f>+(U6+W6)/2</f>
        <v>0</v>
      </c>
      <c r="W6" s="147">
        <f>IF(ISBLANK('Strategic level'!O71)," ",'Strategic level'!O71)</f>
        <v>0</v>
      </c>
      <c r="X6" s="147">
        <f>IF(ISBLANK('Strategic level'!P71)," ",'Strategic level'!P71)</f>
        <v>0</v>
      </c>
      <c r="Y6" s="147">
        <f>IF(ISBLANK('Strategic level'!Q71)," ",'Strategic level'!Q71)</f>
        <v>0</v>
      </c>
      <c r="Z6" s="147">
        <f>IF(ISBLANK('Strategic level'!R71)," ",'Strategic level'!R71)</f>
        <v>0.46443514644351463</v>
      </c>
      <c r="AA6" s="147">
        <f>IF(ISBLANK('Strategic level'!S71)," ",'Strategic level'!S71)</f>
        <v>0.48</v>
      </c>
      <c r="AB6" s="147">
        <f>IF(ISBLANK('Strategic level'!T71)," ",'Strategic level'!T71)</f>
        <v>0.49528301886792453</v>
      </c>
      <c r="AC6" s="147">
        <f>IF(ISBLANK('Strategic level'!U71)," ",'Strategic level'!U71)</f>
        <v>0.51</v>
      </c>
      <c r="AD6" s="369"/>
      <c r="AE6" s="369"/>
      <c r="AF6" s="369"/>
      <c r="AG6" s="369"/>
      <c r="AH6" s="369"/>
      <c r="AI6" s="369"/>
      <c r="AJ6" s="369"/>
      <c r="AK6" s="369"/>
      <c r="AL6" s="446"/>
      <c r="AP6" s="455"/>
      <c r="AQ6" s="455"/>
      <c r="AR6" s="455"/>
      <c r="AS6" s="455"/>
      <c r="AT6" s="455"/>
    </row>
    <row r="7" spans="2:46" x14ac:dyDescent="0.25">
      <c r="B7" s="154" t="s">
        <v>581</v>
      </c>
      <c r="C7" s="129" t="s">
        <v>582</v>
      </c>
      <c r="D7" s="129"/>
      <c r="E7" s="129"/>
      <c r="F7" s="129"/>
      <c r="G7" s="129"/>
      <c r="H7" s="129"/>
      <c r="I7" s="129"/>
      <c r="J7" s="129"/>
      <c r="K7" s="129"/>
      <c r="L7" s="154"/>
      <c r="M7" s="149"/>
      <c r="N7" s="149"/>
      <c r="O7" s="149"/>
      <c r="P7" s="149"/>
      <c r="Q7" s="149"/>
      <c r="R7" s="149"/>
      <c r="S7" s="149"/>
      <c r="T7" s="129"/>
      <c r="U7" s="129"/>
      <c r="V7" s="129"/>
      <c r="W7" s="129"/>
      <c r="X7" s="129"/>
      <c r="Y7" s="129"/>
      <c r="Z7" s="129"/>
      <c r="AA7" s="129"/>
      <c r="AB7" s="129"/>
      <c r="AC7" s="129"/>
      <c r="AD7" s="261">
        <f>AD8</f>
        <v>0</v>
      </c>
      <c r="AE7" s="261">
        <f t="shared" ref="AE7:AK7" si="5">AE8</f>
        <v>1518000</v>
      </c>
      <c r="AF7" s="261">
        <f t="shared" si="5"/>
        <v>1383000</v>
      </c>
      <c r="AG7" s="261">
        <f t="shared" si="5"/>
        <v>0</v>
      </c>
      <c r="AH7" s="261">
        <f t="shared" si="5"/>
        <v>0</v>
      </c>
      <c r="AI7" s="261">
        <f t="shared" si="5"/>
        <v>0</v>
      </c>
      <c r="AJ7" s="261">
        <f t="shared" si="5"/>
        <v>0</v>
      </c>
      <c r="AK7" s="261">
        <f t="shared" si="5"/>
        <v>2901000</v>
      </c>
      <c r="AL7" s="262"/>
    </row>
    <row r="8" spans="2:46" ht="115.5" customHeight="1" x14ac:dyDescent="0.25">
      <c r="B8" s="354" t="s">
        <v>583</v>
      </c>
      <c r="C8" s="401" t="s">
        <v>976</v>
      </c>
      <c r="D8" s="309"/>
      <c r="E8" s="309"/>
      <c r="F8" s="309"/>
      <c r="G8" s="309"/>
      <c r="H8" s="309"/>
      <c r="I8" s="309"/>
      <c r="J8" s="309"/>
      <c r="K8" s="309"/>
      <c r="L8" s="190" t="s">
        <v>584</v>
      </c>
      <c r="M8" s="201" t="s">
        <v>1025</v>
      </c>
      <c r="N8" s="201"/>
      <c r="O8" s="201"/>
      <c r="P8" s="140" t="s">
        <v>203</v>
      </c>
      <c r="Q8" s="140" t="s">
        <v>203</v>
      </c>
      <c r="R8" s="140" t="s">
        <v>203</v>
      </c>
      <c r="S8" s="140" t="s">
        <v>203</v>
      </c>
      <c r="T8" s="140" t="s">
        <v>203</v>
      </c>
      <c r="U8" s="127"/>
      <c r="V8" s="127"/>
      <c r="W8" s="127"/>
      <c r="X8" s="142">
        <f>X10/ROUND(42400*(1+_xlfn.RRI(4,'Strategic level'!$H$69,'Strategic level'!$L$69))^2,-2)</f>
        <v>6.3829787234042548E-2</v>
      </c>
      <c r="Y8" s="142">
        <f>Y10/ROUND(42400*(1+_xlfn.RRI(4,'Strategic level'!$H$69,'Strategic level'!$L$69))^3,-2)</f>
        <v>5.9154929577464786E-2</v>
      </c>
      <c r="Z8" s="127"/>
      <c r="AA8" s="127"/>
      <c r="AB8" s="127"/>
      <c r="AC8" s="127"/>
      <c r="AD8" s="367">
        <f>AD10+AD11+AD12+AD13</f>
        <v>0</v>
      </c>
      <c r="AE8" s="367">
        <f t="shared" ref="AE8:AK8" si="6">AE10+AE11+AE12+AE13</f>
        <v>1518000</v>
      </c>
      <c r="AF8" s="367">
        <f t="shared" si="6"/>
        <v>1383000</v>
      </c>
      <c r="AG8" s="367">
        <f t="shared" si="6"/>
        <v>0</v>
      </c>
      <c r="AH8" s="367">
        <f t="shared" si="6"/>
        <v>0</v>
      </c>
      <c r="AI8" s="367">
        <f t="shared" si="6"/>
        <v>0</v>
      </c>
      <c r="AJ8" s="367">
        <f t="shared" si="6"/>
        <v>0</v>
      </c>
      <c r="AK8" s="367">
        <f t="shared" si="6"/>
        <v>2901000</v>
      </c>
      <c r="AL8" s="444"/>
    </row>
    <row r="9" spans="2:46" ht="82.5" x14ac:dyDescent="0.25">
      <c r="B9" s="354"/>
      <c r="C9" s="401"/>
      <c r="D9" s="311"/>
      <c r="E9" s="311"/>
      <c r="F9" s="311"/>
      <c r="G9" s="311"/>
      <c r="H9" s="311"/>
      <c r="I9" s="311"/>
      <c r="J9" s="311"/>
      <c r="K9" s="311"/>
      <c r="L9" s="190" t="s">
        <v>585</v>
      </c>
      <c r="M9" s="201" t="s">
        <v>162</v>
      </c>
      <c r="N9" s="201"/>
      <c r="O9" s="201"/>
      <c r="P9" s="140" t="s">
        <v>203</v>
      </c>
      <c r="Q9" s="140" t="s">
        <v>203</v>
      </c>
      <c r="R9" s="140" t="s">
        <v>203</v>
      </c>
      <c r="S9" s="140" t="s">
        <v>203</v>
      </c>
      <c r="T9" s="140" t="s">
        <v>203</v>
      </c>
      <c r="U9" s="127"/>
      <c r="V9" s="127"/>
      <c r="W9" s="127"/>
      <c r="X9" s="127">
        <f>('Strategic level'!P43/'Strategic level'!O43)/1.08</f>
        <v>1.037037037037037</v>
      </c>
      <c r="Y9" s="127">
        <f>('Strategic level'!Q43/'Strategic level'!P43)/1.08</f>
        <v>1.037037037037037</v>
      </c>
      <c r="Z9" s="127"/>
      <c r="AA9" s="127"/>
      <c r="AB9" s="127"/>
      <c r="AC9" s="127"/>
      <c r="AD9" s="369"/>
      <c r="AE9" s="369"/>
      <c r="AF9" s="369"/>
      <c r="AG9" s="369"/>
      <c r="AH9" s="369"/>
      <c r="AI9" s="369"/>
      <c r="AJ9" s="369"/>
      <c r="AK9" s="369"/>
      <c r="AL9" s="446"/>
    </row>
    <row r="10" spans="2:46" ht="208.5" customHeight="1" x14ac:dyDescent="0.25">
      <c r="B10" s="64" t="s">
        <v>586</v>
      </c>
      <c r="C10" s="185" t="s">
        <v>1026</v>
      </c>
      <c r="D10" s="64" t="s">
        <v>736</v>
      </c>
      <c r="E10" s="185"/>
      <c r="F10" s="138"/>
      <c r="G10" s="138"/>
      <c r="H10" s="185"/>
      <c r="I10" s="185"/>
      <c r="J10" s="185"/>
      <c r="K10" s="185"/>
      <c r="L10" s="64" t="s">
        <v>587</v>
      </c>
      <c r="M10" s="130" t="s">
        <v>1027</v>
      </c>
      <c r="N10" s="130"/>
      <c r="O10" s="130"/>
      <c r="P10" s="165" t="s">
        <v>203</v>
      </c>
      <c r="Q10" s="165" t="s">
        <v>203</v>
      </c>
      <c r="R10" s="165" t="s">
        <v>203</v>
      </c>
      <c r="S10" s="165" t="s">
        <v>203</v>
      </c>
      <c r="T10" s="165" t="s">
        <v>203</v>
      </c>
      <c r="U10" s="135"/>
      <c r="V10" s="135"/>
      <c r="W10" s="135"/>
      <c r="X10" s="135">
        <f>ROUND(42400*(1+_xlfn.RRI(4,'Strategic level'!$H$69,'Strategic level'!$L$69))^1,-2)-ROUND(42400*(1+_xlfn.RRI(4,'Strategic level'!$H$69,'Strategic level'!$L$69))^2,-2)</f>
        <v>2400</v>
      </c>
      <c r="Y10" s="135">
        <f>ROUND(42400*(1+_xlfn.RRI(4,'Strategic level'!$H$69,'Strategic level'!$L$69))^2,-2)-ROUND(42400*(1+_xlfn.RRI(4,'Strategic level'!$H$69,'Strategic level'!$L$69))^3,-2)</f>
        <v>2100</v>
      </c>
      <c r="Z10" s="135"/>
      <c r="AA10" s="134"/>
      <c r="AB10" s="134"/>
      <c r="AC10" s="134"/>
      <c r="AD10" s="136"/>
      <c r="AE10" s="135">
        <f>ROUND(X10*Variables!R3*1.04^1,-3)</f>
        <v>1248000</v>
      </c>
      <c r="AF10" s="135">
        <f>ROUND(Y10*Variables!R3*1.04^2,-3)</f>
        <v>1136000</v>
      </c>
      <c r="AG10" s="136"/>
      <c r="AH10" s="136"/>
      <c r="AI10" s="136"/>
      <c r="AJ10" s="136"/>
      <c r="AK10" s="135">
        <f>SUM(AD10:AJ10)</f>
        <v>2384000</v>
      </c>
      <c r="AL10" s="130" t="s">
        <v>1177</v>
      </c>
    </row>
    <row r="11" spans="2:46" ht="202.5" customHeight="1" x14ac:dyDescent="0.25">
      <c r="B11" s="64" t="s">
        <v>588</v>
      </c>
      <c r="C11" s="185" t="s">
        <v>1016</v>
      </c>
      <c r="D11" s="64" t="s">
        <v>1179</v>
      </c>
      <c r="E11" s="185"/>
      <c r="F11" s="138"/>
      <c r="G11" s="138"/>
      <c r="H11" s="185"/>
      <c r="I11" s="185"/>
      <c r="J11" s="185"/>
      <c r="K11" s="185"/>
      <c r="L11" s="64" t="s">
        <v>589</v>
      </c>
      <c r="M11" s="130" t="s">
        <v>1074</v>
      </c>
      <c r="N11" s="130"/>
      <c r="O11" s="130"/>
      <c r="P11" s="165" t="s">
        <v>203</v>
      </c>
      <c r="Q11" s="165" t="s">
        <v>203</v>
      </c>
      <c r="R11" s="165" t="s">
        <v>203</v>
      </c>
      <c r="S11" s="165" t="s">
        <v>203</v>
      </c>
      <c r="T11" s="165" t="s">
        <v>203</v>
      </c>
      <c r="U11" s="134"/>
      <c r="V11" s="134"/>
      <c r="W11" s="134"/>
      <c r="X11" s="135">
        <f>X10</f>
        <v>2400</v>
      </c>
      <c r="Y11" s="135">
        <f>Y10</f>
        <v>2100</v>
      </c>
      <c r="Z11" s="134"/>
      <c r="AA11" s="134"/>
      <c r="AB11" s="134"/>
      <c r="AC11" s="134"/>
      <c r="AD11" s="136"/>
      <c r="AE11" s="135">
        <f>ROUND(X11*Variables!R4*1.04^1,-3)</f>
        <v>250000</v>
      </c>
      <c r="AF11" s="135">
        <f>ROUND(Y11*Variables!R4*1.04^2,-3)</f>
        <v>227000</v>
      </c>
      <c r="AG11" s="136"/>
      <c r="AH11" s="136"/>
      <c r="AI11" s="136"/>
      <c r="AJ11" s="136"/>
      <c r="AK11" s="135">
        <f t="shared" ref="AK11" si="7">SUM(AD11:AJ11)</f>
        <v>477000</v>
      </c>
      <c r="AL11" s="130" t="s">
        <v>1178</v>
      </c>
    </row>
    <row r="12" spans="2:46" ht="33" x14ac:dyDescent="0.25">
      <c r="B12" s="453" t="s">
        <v>590</v>
      </c>
      <c r="C12" s="403" t="s">
        <v>1044</v>
      </c>
      <c r="D12" s="439" t="s">
        <v>736</v>
      </c>
      <c r="E12" s="303"/>
      <c r="F12" s="306"/>
      <c r="G12" s="306"/>
      <c r="H12" s="303"/>
      <c r="I12" s="303"/>
      <c r="J12" s="303"/>
      <c r="K12" s="303"/>
      <c r="L12" s="64" t="s">
        <v>591</v>
      </c>
      <c r="M12" s="130" t="s">
        <v>527</v>
      </c>
      <c r="N12" s="130"/>
      <c r="O12" s="130"/>
      <c r="P12" s="165" t="s">
        <v>203</v>
      </c>
      <c r="Q12" s="165" t="s">
        <v>203</v>
      </c>
      <c r="R12" s="165" t="s">
        <v>203</v>
      </c>
      <c r="S12" s="165" t="s">
        <v>203</v>
      </c>
      <c r="T12" s="165" t="s">
        <v>203</v>
      </c>
      <c r="U12" s="134" t="str">
        <f>IF(ISBLANK('Strategic level'!M76)," ",'Strategic level'!M76)</f>
        <v xml:space="preserve"> </v>
      </c>
      <c r="V12" s="134"/>
      <c r="W12" s="134" t="str">
        <f>IF(ISBLANK('Strategic level'!O76)," ",'Strategic level'!O76)</f>
        <v xml:space="preserve"> </v>
      </c>
      <c r="X12" s="135">
        <v>20</v>
      </c>
      <c r="Y12" s="135">
        <v>20</v>
      </c>
      <c r="Z12" s="134" t="str">
        <f>IF(ISBLANK('Strategic level'!R76)," ",'Strategic level'!R76)</f>
        <v xml:space="preserve"> </v>
      </c>
      <c r="AA12" s="134" t="str">
        <f>IF(ISBLANK('Strategic level'!S76)," ",'Strategic level'!S76)</f>
        <v xml:space="preserve"> </v>
      </c>
      <c r="AB12" s="134" t="str">
        <f>IF(ISBLANK('Strategic level'!T76)," ",'Strategic level'!T76)</f>
        <v xml:space="preserve"> </v>
      </c>
      <c r="AC12" s="134" t="str">
        <f>IF(ISBLANK('Strategic level'!U76)," ",'Strategic level'!U76)</f>
        <v xml:space="preserve"> </v>
      </c>
      <c r="AD12" s="442"/>
      <c r="AE12" s="300">
        <f>Variables!$R$5*X13</f>
        <v>20000</v>
      </c>
      <c r="AF12" s="300">
        <f>Variables!$R$5*Y13</f>
        <v>20000</v>
      </c>
      <c r="AG12" s="442"/>
      <c r="AH12" s="442"/>
      <c r="AI12" s="442"/>
      <c r="AJ12" s="442"/>
      <c r="AK12" s="297">
        <f>SUM(AD12:AJ13)</f>
        <v>40000</v>
      </c>
      <c r="AL12" s="380" t="s">
        <v>712</v>
      </c>
    </row>
    <row r="13" spans="2:46" ht="168.75" customHeight="1" x14ac:dyDescent="0.25">
      <c r="B13" s="453"/>
      <c r="C13" s="403"/>
      <c r="D13" s="441"/>
      <c r="E13" s="305"/>
      <c r="F13" s="308"/>
      <c r="G13" s="308"/>
      <c r="H13" s="305"/>
      <c r="I13" s="305"/>
      <c r="J13" s="305"/>
      <c r="K13" s="305"/>
      <c r="L13" s="64" t="s">
        <v>592</v>
      </c>
      <c r="M13" s="130" t="s">
        <v>1130</v>
      </c>
      <c r="N13" s="130"/>
      <c r="O13" s="130"/>
      <c r="P13" s="165" t="s">
        <v>203</v>
      </c>
      <c r="Q13" s="165" t="s">
        <v>203</v>
      </c>
      <c r="R13" s="165" t="s">
        <v>203</v>
      </c>
      <c r="S13" s="165" t="s">
        <v>203</v>
      </c>
      <c r="T13" s="165" t="s">
        <v>203</v>
      </c>
      <c r="U13" s="135"/>
      <c r="V13" s="135"/>
      <c r="W13" s="135"/>
      <c r="X13" s="135">
        <v>1</v>
      </c>
      <c r="Y13" s="135">
        <v>1</v>
      </c>
      <c r="Z13" s="135"/>
      <c r="AA13" s="135"/>
      <c r="AB13" s="135"/>
      <c r="AC13" s="135"/>
      <c r="AD13" s="443"/>
      <c r="AE13" s="300"/>
      <c r="AF13" s="300"/>
      <c r="AG13" s="443"/>
      <c r="AH13" s="443"/>
      <c r="AI13" s="443"/>
      <c r="AJ13" s="443"/>
      <c r="AK13" s="299"/>
      <c r="AL13" s="382"/>
    </row>
    <row r="14" spans="2:46" x14ac:dyDescent="0.25">
      <c r="B14" s="154" t="s">
        <v>593</v>
      </c>
      <c r="C14" s="498" t="s">
        <v>1180</v>
      </c>
      <c r="D14" s="492"/>
      <c r="E14" s="492"/>
      <c r="F14" s="492"/>
      <c r="G14" s="492"/>
      <c r="H14" s="492"/>
      <c r="I14" s="492"/>
      <c r="J14" s="492"/>
      <c r="K14" s="492"/>
      <c r="L14" s="492"/>
      <c r="M14" s="492"/>
      <c r="N14" s="492"/>
      <c r="O14" s="492"/>
      <c r="P14" s="492"/>
      <c r="Q14" s="493"/>
      <c r="R14" s="129"/>
      <c r="S14" s="129"/>
      <c r="T14" s="129"/>
      <c r="U14" s="129"/>
      <c r="V14" s="129"/>
      <c r="W14" s="129"/>
      <c r="X14" s="129"/>
      <c r="Y14" s="129"/>
      <c r="Z14" s="129"/>
      <c r="AA14" s="129"/>
      <c r="AB14" s="129"/>
      <c r="AC14" s="129"/>
      <c r="AD14" s="261">
        <f>AD15</f>
        <v>30000</v>
      </c>
      <c r="AE14" s="261">
        <f t="shared" ref="AE14:AK14" si="8">AE15</f>
        <v>30000</v>
      </c>
      <c r="AF14" s="261">
        <f t="shared" si="8"/>
        <v>20000</v>
      </c>
      <c r="AG14" s="261">
        <f t="shared" si="8"/>
        <v>9990000</v>
      </c>
      <c r="AH14" s="261">
        <f t="shared" si="8"/>
        <v>9720000</v>
      </c>
      <c r="AI14" s="261">
        <f t="shared" si="8"/>
        <v>9450000</v>
      </c>
      <c r="AJ14" s="261">
        <f t="shared" si="8"/>
        <v>9180000</v>
      </c>
      <c r="AK14" s="261">
        <f t="shared" si="8"/>
        <v>38420000</v>
      </c>
      <c r="AL14" s="262"/>
    </row>
    <row r="15" spans="2:46" ht="99" x14ac:dyDescent="0.25">
      <c r="B15" s="354" t="s">
        <v>594</v>
      </c>
      <c r="C15" s="401" t="s">
        <v>595</v>
      </c>
      <c r="D15" s="309"/>
      <c r="E15" s="309"/>
      <c r="F15" s="309"/>
      <c r="G15" s="309"/>
      <c r="H15" s="309"/>
      <c r="I15" s="309"/>
      <c r="J15" s="309"/>
      <c r="K15" s="309"/>
      <c r="L15" s="190" t="s">
        <v>596</v>
      </c>
      <c r="M15" s="201" t="s">
        <v>1181</v>
      </c>
      <c r="N15" s="201" t="s">
        <v>597</v>
      </c>
      <c r="O15" s="201" t="s">
        <v>598</v>
      </c>
      <c r="P15" s="150">
        <f>P16/P17</f>
        <v>0</v>
      </c>
      <c r="Q15" s="150">
        <f>Q16/Q17</f>
        <v>4.0203155259986708E-3</v>
      </c>
      <c r="R15" s="150">
        <f>R16/R17</f>
        <v>2.7441971285637259E-3</v>
      </c>
      <c r="S15" s="150">
        <f>S16/S17</f>
        <v>0</v>
      </c>
      <c r="T15" s="150">
        <f>T16/T17</f>
        <v>0</v>
      </c>
      <c r="U15" s="150">
        <f t="shared" ref="U15:AC15" si="9">U16/U17</f>
        <v>0</v>
      </c>
      <c r="V15" s="150">
        <f>+(U15+W15)/2</f>
        <v>0</v>
      </c>
      <c r="W15" s="150">
        <f t="shared" si="9"/>
        <v>0</v>
      </c>
      <c r="X15" s="150">
        <f t="shared" si="9"/>
        <v>0</v>
      </c>
      <c r="Y15" s="150">
        <f t="shared" si="9"/>
        <v>0</v>
      </c>
      <c r="Z15" s="150">
        <f t="shared" si="9"/>
        <v>0.91765328453060824</v>
      </c>
      <c r="AA15" s="150">
        <f t="shared" si="9"/>
        <v>0.91192987527158131</v>
      </c>
      <c r="AB15" s="150">
        <f t="shared" si="9"/>
        <v>0.90477440228437211</v>
      </c>
      <c r="AC15" s="150">
        <f t="shared" si="9"/>
        <v>0.89582608402002128</v>
      </c>
      <c r="AD15" s="367">
        <f>AD18+AD19+AD20</f>
        <v>30000</v>
      </c>
      <c r="AE15" s="367">
        <f t="shared" ref="AE15:AJ15" si="10">AE18+AE19+AE20</f>
        <v>30000</v>
      </c>
      <c r="AF15" s="367">
        <f t="shared" si="10"/>
        <v>20000</v>
      </c>
      <c r="AG15" s="367">
        <f t="shared" si="10"/>
        <v>9990000</v>
      </c>
      <c r="AH15" s="367">
        <f t="shared" si="10"/>
        <v>9720000</v>
      </c>
      <c r="AI15" s="367">
        <f t="shared" si="10"/>
        <v>9450000</v>
      </c>
      <c r="AJ15" s="367">
        <f t="shared" si="10"/>
        <v>9180000</v>
      </c>
      <c r="AK15" s="367">
        <f t="shared" ref="AK15" si="11">AK18+AK19+AK20</f>
        <v>38420000</v>
      </c>
      <c r="AL15" s="444"/>
    </row>
    <row r="16" spans="2:46" ht="148.5" x14ac:dyDescent="0.25">
      <c r="B16" s="354"/>
      <c r="C16" s="401"/>
      <c r="D16" s="310"/>
      <c r="E16" s="310"/>
      <c r="F16" s="310"/>
      <c r="G16" s="310"/>
      <c r="H16" s="310"/>
      <c r="I16" s="310"/>
      <c r="J16" s="310"/>
      <c r="K16" s="310"/>
      <c r="L16" s="184"/>
      <c r="M16" s="126" t="s">
        <v>1182</v>
      </c>
      <c r="N16" s="126" t="s">
        <v>1111</v>
      </c>
      <c r="O16" s="234"/>
      <c r="P16" s="234">
        <v>0</v>
      </c>
      <c r="Q16" s="267">
        <f>(51500+126074060)/1000000000</f>
        <v>0.12612556</v>
      </c>
      <c r="R16" s="267">
        <f>(68300+83558930)/1000000000</f>
        <v>8.3627229999999997E-2</v>
      </c>
      <c r="S16" s="234">
        <v>0</v>
      </c>
      <c r="T16" s="234">
        <v>0</v>
      </c>
      <c r="U16" s="234">
        <v>0</v>
      </c>
      <c r="V16" s="234">
        <f>+(U16+W16)/2</f>
        <v>0</v>
      </c>
      <c r="W16" s="234">
        <v>0</v>
      </c>
      <c r="X16" s="234">
        <v>0</v>
      </c>
      <c r="Y16" s="234">
        <v>0</v>
      </c>
      <c r="Z16" s="135">
        <f>AG20/1000000</f>
        <v>9.99</v>
      </c>
      <c r="AA16" s="135">
        <f t="shared" ref="AA16:AC16" si="12">AH20/1000000</f>
        <v>9.7200000000000006</v>
      </c>
      <c r="AB16" s="135">
        <f t="shared" si="12"/>
        <v>9.4499999999999993</v>
      </c>
      <c r="AC16" s="135">
        <f t="shared" si="12"/>
        <v>9.18</v>
      </c>
      <c r="AD16" s="368"/>
      <c r="AE16" s="368"/>
      <c r="AF16" s="368"/>
      <c r="AG16" s="368"/>
      <c r="AH16" s="368"/>
      <c r="AI16" s="368"/>
      <c r="AJ16" s="368"/>
      <c r="AK16" s="368"/>
      <c r="AL16" s="445"/>
    </row>
    <row r="17" spans="2:46" ht="225.75" customHeight="1" x14ac:dyDescent="0.25">
      <c r="B17" s="354"/>
      <c r="C17" s="401"/>
      <c r="D17" s="311"/>
      <c r="E17" s="311"/>
      <c r="F17" s="311"/>
      <c r="G17" s="311"/>
      <c r="H17" s="311"/>
      <c r="I17" s="311"/>
      <c r="J17" s="311"/>
      <c r="K17" s="311"/>
      <c r="L17" s="184"/>
      <c r="M17" s="126" t="s">
        <v>1183</v>
      </c>
      <c r="N17" s="126" t="str">
        <f>'Strategic level'!F69</f>
        <v>Հաշվետվություն ՀՀ պետական բյուջեի ելքային ծրագրերի և միջոցառումների գծով արդյունքային (կատարողական) ցուցանիշների կատարման վերաբերյալ` ըստ բյուջետային հատկացումների գլխավոր կարգադրիչների։ Ընտանիքների անապահովության գնահատման համակարգում հաշվառված, անապահով ճանաչված ընտանիքներին նպաստի, սոցիալական նպաստի և հրատապ օգնության տրամադրում։</v>
      </c>
      <c r="O17" s="234"/>
      <c r="P17" s="268">
        <f>'Strategic level'!H69</f>
        <v>34.542958089999999</v>
      </c>
      <c r="Q17" s="268">
        <f>'Strategic level'!I69</f>
        <v>31.37205505</v>
      </c>
      <c r="R17" s="268">
        <f>'Strategic level'!J69</f>
        <v>30.474206509999998</v>
      </c>
      <c r="S17" s="268">
        <f>'Strategic level'!K69</f>
        <v>30.081</v>
      </c>
      <c r="T17" s="268">
        <f>'Strategic level'!L69</f>
        <v>27.236000000000001</v>
      </c>
      <c r="U17" s="135">
        <f>T17*'Strategic level'!M73/'Strategic level'!L73*'Strategic level'!M74/'Strategic level'!L74</f>
        <v>26.671422444603291</v>
      </c>
      <c r="V17" s="135">
        <f>+(U17+W17)/2</f>
        <v>26.394974124374556</v>
      </c>
      <c r="W17" s="135">
        <f>U17*'Strategic level'!O73/'Strategic level'!M73*'Strategic level'!O74/'Strategic level'!M74</f>
        <v>26.118525804145825</v>
      </c>
      <c r="X17" s="135">
        <f>W17*'Strategic level'!P73/'Strategic level'!O73*'Strategic level'!P74/'Strategic level'!O74</f>
        <v>25.562950340528953</v>
      </c>
      <c r="Y17" s="135">
        <f>X17*'Strategic level'!Q73/'Strategic level'!P73*'Strategic level'!Q74/'Strategic level'!P74</f>
        <v>25.05253360555826</v>
      </c>
      <c r="Z17" s="135">
        <f>Y17*'Strategic level'!R73/'Strategic level'!Q73*'Strategic level'!R74/'Strategic level'!Q74</f>
        <v>10.886464603142588</v>
      </c>
      <c r="AA17" s="135">
        <f>Z17*'Strategic level'!S73/'Strategic level'!R73*'Strategic level'!S74/'Strategic level'!R74</f>
        <v>10.658714297637516</v>
      </c>
      <c r="AB17" s="135">
        <f>AA17*'Strategic level'!T73/'Strategic level'!S73*'Strategic level'!T74/'Strategic level'!S74</f>
        <v>10.444592570413866</v>
      </c>
      <c r="AC17" s="135">
        <f>AB17*'Strategic level'!U73/'Strategic level'!T73*'Strategic level'!U74/'Strategic level'!T74</f>
        <v>10.247524786066434</v>
      </c>
      <c r="AD17" s="369"/>
      <c r="AE17" s="369"/>
      <c r="AF17" s="369"/>
      <c r="AG17" s="369"/>
      <c r="AH17" s="369"/>
      <c r="AI17" s="369"/>
      <c r="AJ17" s="369"/>
      <c r="AK17" s="369"/>
      <c r="AL17" s="446"/>
    </row>
    <row r="18" spans="2:46" ht="99" customHeight="1" x14ac:dyDescent="0.25">
      <c r="B18" s="303" t="s">
        <v>599</v>
      </c>
      <c r="C18" s="439" t="s">
        <v>1184</v>
      </c>
      <c r="D18" s="303" t="s">
        <v>1185</v>
      </c>
      <c r="E18" s="138"/>
      <c r="F18" s="185"/>
      <c r="G18" s="185"/>
      <c r="H18" s="185"/>
      <c r="I18" s="185"/>
      <c r="J18" s="185"/>
      <c r="K18" s="185"/>
      <c r="L18" s="155" t="s">
        <v>600</v>
      </c>
      <c r="M18" s="130" t="s">
        <v>126</v>
      </c>
      <c r="N18" s="130"/>
      <c r="O18" s="130"/>
      <c r="P18" s="151" t="s">
        <v>205</v>
      </c>
      <c r="Q18" s="151" t="s">
        <v>205</v>
      </c>
      <c r="R18" s="151" t="s">
        <v>205</v>
      </c>
      <c r="S18" s="151" t="s">
        <v>205</v>
      </c>
      <c r="T18" s="151" t="s">
        <v>205</v>
      </c>
      <c r="U18" s="134"/>
      <c r="V18" s="134"/>
      <c r="W18" s="134" t="s">
        <v>362</v>
      </c>
      <c r="X18" s="134"/>
      <c r="Y18" s="134"/>
      <c r="Z18" s="134"/>
      <c r="AA18" s="134"/>
      <c r="AB18" s="134"/>
      <c r="AC18" s="134"/>
      <c r="AD18" s="135">
        <f>+Variables!R6</f>
        <v>30000</v>
      </c>
      <c r="AE18" s="136"/>
      <c r="AF18" s="118"/>
      <c r="AG18" s="136"/>
      <c r="AH18" s="136"/>
      <c r="AI18" s="136"/>
      <c r="AJ18" s="136"/>
      <c r="AK18" s="136">
        <f>SUM(AD18:AJ18)</f>
        <v>30000</v>
      </c>
      <c r="AL18" s="130" t="s">
        <v>401</v>
      </c>
    </row>
    <row r="19" spans="2:46" s="202" customFormat="1" ht="82.5" x14ac:dyDescent="0.25">
      <c r="B19" s="305"/>
      <c r="C19" s="441"/>
      <c r="D19" s="305"/>
      <c r="E19" s="198"/>
      <c r="F19" s="138"/>
      <c r="G19" s="198"/>
      <c r="H19" s="198"/>
      <c r="I19" s="198"/>
      <c r="J19" s="198"/>
      <c r="K19" s="198"/>
      <c r="L19" s="197" t="s">
        <v>1041</v>
      </c>
      <c r="M19" s="198" t="s">
        <v>602</v>
      </c>
      <c r="N19" s="198"/>
      <c r="O19" s="198"/>
      <c r="P19" s="203" t="s">
        <v>205</v>
      </c>
      <c r="Q19" s="203" t="s">
        <v>205</v>
      </c>
      <c r="R19" s="203" t="s">
        <v>205</v>
      </c>
      <c r="S19" s="203" t="s">
        <v>205</v>
      </c>
      <c r="T19" s="203" t="s">
        <v>205</v>
      </c>
      <c r="U19" s="204" t="str">
        <f>IF(ISBLANK('Strategic level'!M83)," ",'Strategic level'!M83)</f>
        <v xml:space="preserve"> </v>
      </c>
      <c r="V19" s="204"/>
      <c r="W19" s="204" t="str">
        <f>IF(ISBLANK('Strategic level'!O83)," ",'Strategic level'!O83)</f>
        <v xml:space="preserve"> </v>
      </c>
      <c r="X19" s="204" t="s">
        <v>362</v>
      </c>
      <c r="Y19" s="204" t="s">
        <v>362</v>
      </c>
      <c r="Z19" s="204" t="str">
        <f>IF(ISBLANK('Strategic level'!R83)," ",'Strategic level'!R83)</f>
        <v xml:space="preserve"> </v>
      </c>
      <c r="AA19" s="204" t="str">
        <f>IF(ISBLANK('Strategic level'!S83)," ",'Strategic level'!S83)</f>
        <v xml:space="preserve"> </v>
      </c>
      <c r="AB19" s="204" t="str">
        <f>IF(ISBLANK('Strategic level'!T83)," ",'Strategic level'!T83)</f>
        <v xml:space="preserve"> </v>
      </c>
      <c r="AC19" s="204" t="str">
        <f>IF(ISBLANK('Strategic level'!U83)," ",'Strategic level'!U83)</f>
        <v xml:space="preserve"> </v>
      </c>
      <c r="AD19" s="178"/>
      <c r="AE19" s="177">
        <f>+Variables!R7</f>
        <v>30000</v>
      </c>
      <c r="AF19" s="177">
        <f>+Variables!R8</f>
        <v>20000</v>
      </c>
      <c r="AG19" s="178"/>
      <c r="AH19" s="178"/>
      <c r="AI19" s="178"/>
      <c r="AJ19" s="178"/>
      <c r="AK19" s="178">
        <f>SUM(AD19:AJ19)</f>
        <v>50000</v>
      </c>
      <c r="AL19" s="198" t="s">
        <v>401</v>
      </c>
      <c r="AN19" s="500"/>
      <c r="AO19" s="500"/>
    </row>
    <row r="20" spans="2:46" ht="129.75" customHeight="1" x14ac:dyDescent="0.25">
      <c r="B20" s="64" t="s">
        <v>601</v>
      </c>
      <c r="C20" s="198" t="s">
        <v>1186</v>
      </c>
      <c r="D20" s="64" t="s">
        <v>1187</v>
      </c>
      <c r="E20" s="185"/>
      <c r="F20" s="185"/>
      <c r="G20" s="185"/>
      <c r="H20" s="138"/>
      <c r="I20" s="138"/>
      <c r="J20" s="138"/>
      <c r="K20" s="138"/>
      <c r="L20" s="155" t="s">
        <v>603</v>
      </c>
      <c r="M20" s="130" t="s">
        <v>604</v>
      </c>
      <c r="N20" s="130"/>
      <c r="O20" s="130"/>
      <c r="P20" s="151" t="s">
        <v>203</v>
      </c>
      <c r="Q20" s="151" t="s">
        <v>203</v>
      </c>
      <c r="R20" s="151" t="s">
        <v>203</v>
      </c>
      <c r="S20" s="151" t="s">
        <v>203</v>
      </c>
      <c r="T20" s="151" t="s">
        <v>203</v>
      </c>
      <c r="U20" s="134" t="str">
        <f>IF(ISBLANK('Strategic level'!M84)," ",'Strategic level'!M84)</f>
        <v xml:space="preserve"> </v>
      </c>
      <c r="V20" s="134"/>
      <c r="W20" s="134" t="str">
        <f>IF(ISBLANK('Strategic level'!O84)," ",'Strategic level'!O84)</f>
        <v xml:space="preserve"> </v>
      </c>
      <c r="X20" s="134" t="str">
        <f>IF(ISBLANK('Strategic level'!P84)," ",'Strategic level'!P84)</f>
        <v xml:space="preserve"> </v>
      </c>
      <c r="Y20" s="134" t="str">
        <f>IF(ISBLANK('Strategic level'!Q84)," ",'Strategic level'!Q84)</f>
        <v xml:space="preserve"> </v>
      </c>
      <c r="Z20" s="135">
        <f>'Strategic level'!R72</f>
        <v>11100</v>
      </c>
      <c r="AA20" s="135">
        <f>'Strategic level'!S72</f>
        <v>10800</v>
      </c>
      <c r="AB20" s="135">
        <f>'Strategic level'!T72</f>
        <v>10500</v>
      </c>
      <c r="AC20" s="135">
        <f>'Strategic level'!U72</f>
        <v>10200</v>
      </c>
      <c r="AD20" s="136"/>
      <c r="AE20" s="136"/>
      <c r="AF20" s="136"/>
      <c r="AG20" s="135">
        <f>Z20*75*12</f>
        <v>9990000</v>
      </c>
      <c r="AH20" s="135">
        <f t="shared" ref="AH20:AJ20" si="13">AA20*75*12</f>
        <v>9720000</v>
      </c>
      <c r="AI20" s="135">
        <f>AB20*75*12</f>
        <v>9450000</v>
      </c>
      <c r="AJ20" s="135">
        <f t="shared" si="13"/>
        <v>9180000</v>
      </c>
      <c r="AK20" s="135">
        <f t="shared" ref="AK20" si="14">SUM(AD20:AJ20)</f>
        <v>38340000</v>
      </c>
      <c r="AL20" s="130" t="s">
        <v>913</v>
      </c>
      <c r="AP20" s="226">
        <f>ROUND(AJ20*1.04,-3)</f>
        <v>9547000</v>
      </c>
      <c r="AQ20" s="226">
        <f>ROUND(AP20*1.04,-3)</f>
        <v>9929000</v>
      </c>
      <c r="AR20" s="226">
        <f t="shared" ref="AR20:AT20" si="15">ROUND(AQ20*1.04,-3)</f>
        <v>10326000</v>
      </c>
      <c r="AS20" s="226">
        <f t="shared" si="15"/>
        <v>10739000</v>
      </c>
      <c r="AT20" s="226">
        <f t="shared" si="15"/>
        <v>11169000</v>
      </c>
    </row>
  </sheetData>
  <dataConsolidate/>
  <mergeCells count="91">
    <mergeCell ref="C14:Q14"/>
    <mergeCell ref="AP2:AT2"/>
    <mergeCell ref="AP4:AP6"/>
    <mergeCell ref="AQ4:AQ6"/>
    <mergeCell ref="AR4:AR6"/>
    <mergeCell ref="AS4:AS6"/>
    <mergeCell ref="AT4:AT6"/>
    <mergeCell ref="C15:C17"/>
    <mergeCell ref="AD2:AK2"/>
    <mergeCell ref="B8:B9"/>
    <mergeCell ref="C8:C9"/>
    <mergeCell ref="B12:B13"/>
    <mergeCell ref="C12:C13"/>
    <mergeCell ref="E2:K2"/>
    <mergeCell ref="P2:T2"/>
    <mergeCell ref="U2:AC2"/>
    <mergeCell ref="B4:B6"/>
    <mergeCell ref="C4:C6"/>
    <mergeCell ref="U4:AC4"/>
    <mergeCell ref="D4:D6"/>
    <mergeCell ref="E4:E6"/>
    <mergeCell ref="F4:F6"/>
    <mergeCell ref="G4:G6"/>
    <mergeCell ref="H4:H6"/>
    <mergeCell ref="I4:I6"/>
    <mergeCell ref="J4:J6"/>
    <mergeCell ref="K4:K6"/>
    <mergeCell ref="D8:D9"/>
    <mergeCell ref="E8:E9"/>
    <mergeCell ref="F8:F9"/>
    <mergeCell ref="G8:G9"/>
    <mergeCell ref="H8:H9"/>
    <mergeCell ref="I8:I9"/>
    <mergeCell ref="J8:J9"/>
    <mergeCell ref="K8:K9"/>
    <mergeCell ref="I15:I17"/>
    <mergeCell ref="J15:J17"/>
    <mergeCell ref="K15:K17"/>
    <mergeCell ref="AK4:AK6"/>
    <mergeCell ref="AL4:AL6"/>
    <mergeCell ref="AD8:AD9"/>
    <mergeCell ref="AE8:AE9"/>
    <mergeCell ref="AF8:AF9"/>
    <mergeCell ref="AG8:AG9"/>
    <mergeCell ref="AH8:AH9"/>
    <mergeCell ref="AI8:AI9"/>
    <mergeCell ref="AJ8:AJ9"/>
    <mergeCell ref="AK8:AK9"/>
    <mergeCell ref="AL8:AL9"/>
    <mergeCell ref="AD4:AD6"/>
    <mergeCell ref="AE4:AE6"/>
    <mergeCell ref="AF4:AF6"/>
    <mergeCell ref="AG4:AG6"/>
    <mergeCell ref="AH4:AH6"/>
    <mergeCell ref="AF15:AF17"/>
    <mergeCell ref="AG15:AG17"/>
    <mergeCell ref="AH15:AH17"/>
    <mergeCell ref="AF12:AF13"/>
    <mergeCell ref="AG12:AG13"/>
    <mergeCell ref="AI4:AI6"/>
    <mergeCell ref="AJ4:AJ6"/>
    <mergeCell ref="AH12:AH13"/>
    <mergeCell ref="AI15:AI17"/>
    <mergeCell ref="AJ15:AJ17"/>
    <mergeCell ref="AK15:AK17"/>
    <mergeCell ref="AL15:AL17"/>
    <mergeCell ref="AI12:AI13"/>
    <mergeCell ref="AJ12:AJ13"/>
    <mergeCell ref="AK12:AK13"/>
    <mergeCell ref="AL12:AL13"/>
    <mergeCell ref="G12:G13"/>
    <mergeCell ref="H12:H13"/>
    <mergeCell ref="I12:I13"/>
    <mergeCell ref="J12:J13"/>
    <mergeCell ref="K12:K13"/>
    <mergeCell ref="B18:B19"/>
    <mergeCell ref="C18:C19"/>
    <mergeCell ref="D18:D19"/>
    <mergeCell ref="AD12:AD13"/>
    <mergeCell ref="AE12:AE13"/>
    <mergeCell ref="AD15:AD17"/>
    <mergeCell ref="AE15:AE17"/>
    <mergeCell ref="D15:D17"/>
    <mergeCell ref="E15:E17"/>
    <mergeCell ref="F15:F17"/>
    <mergeCell ref="G15:G17"/>
    <mergeCell ref="H15:H17"/>
    <mergeCell ref="D12:D13"/>
    <mergeCell ref="E12:E13"/>
    <mergeCell ref="F12:F13"/>
    <mergeCell ref="B15:B1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40"/>
  <sheetViews>
    <sheetView tabSelected="1" zoomScale="85" zoomScaleNormal="85" workbookViewId="0">
      <pane xSplit="3" ySplit="3" topLeftCell="D16" activePane="bottomRight" state="frozen"/>
      <selection pane="topRight" activeCell="D1" sqref="D1"/>
      <selection pane="bottomLeft" activeCell="A4" sqref="A4"/>
      <selection pane="bottomRight" activeCell="AT23" sqref="AT23"/>
    </sheetView>
  </sheetViews>
  <sheetFormatPr defaultColWidth="8.85546875" defaultRowHeight="16.5" x14ac:dyDescent="0.25"/>
  <cols>
    <col min="1" max="1" width="3.42578125" style="125" customWidth="1"/>
    <col min="2" max="2" width="20.7109375" style="124" customWidth="1"/>
    <col min="3" max="3" width="50.7109375" style="152" customWidth="1"/>
    <col min="4" max="4" width="30.7109375" style="152" customWidth="1"/>
    <col min="5" max="8" width="6.28515625" style="152" bestFit="1" customWidth="1"/>
    <col min="9" max="9" width="6.42578125" style="152" bestFit="1" customWidth="1"/>
    <col min="10" max="10" width="6.28515625" style="152" bestFit="1" customWidth="1"/>
    <col min="11" max="11" width="6.42578125" style="152" bestFit="1" customWidth="1"/>
    <col min="12" max="12" width="20.7109375" style="153" customWidth="1"/>
    <col min="13" max="13" width="38.7109375" style="152" customWidth="1"/>
    <col min="14" max="14" width="34.7109375" style="152" bestFit="1" customWidth="1"/>
    <col min="15" max="15" width="50.7109375" style="152" customWidth="1"/>
    <col min="16" max="19" width="9.42578125" style="125" bestFit="1" customWidth="1"/>
    <col min="20" max="20" width="9.42578125" style="125" bestFit="1" customWidth="1" collapsed="1"/>
    <col min="21" max="21" width="6.7109375" style="125" bestFit="1" customWidth="1"/>
    <col min="22" max="22" width="6.5703125" style="125" customWidth="1"/>
    <col min="23" max="23" width="7.5703125" style="125" bestFit="1" customWidth="1"/>
    <col min="24" max="24" width="7.28515625" style="125" bestFit="1" customWidth="1"/>
    <col min="25" max="25" width="7.5703125" style="125" bestFit="1" customWidth="1"/>
    <col min="26" max="27" width="8.140625" style="125" bestFit="1" customWidth="1"/>
    <col min="28" max="28" width="8" style="125" bestFit="1" customWidth="1"/>
    <col min="29" max="29" width="8.140625" style="125" customWidth="1"/>
    <col min="30" max="30" width="14.140625" style="143" customWidth="1"/>
    <col min="31" max="31" width="14.5703125" style="143" customWidth="1"/>
    <col min="32" max="33" width="14.42578125" style="143" customWidth="1"/>
    <col min="34" max="34" width="14.5703125" style="143" customWidth="1"/>
    <col min="35" max="35" width="14.140625" style="143" customWidth="1"/>
    <col min="36" max="36" width="14.28515625" style="143" customWidth="1"/>
    <col min="37" max="37" width="15.85546875" style="143" customWidth="1"/>
    <col min="38" max="38" width="30.85546875" style="125" customWidth="1"/>
    <col min="39" max="39" width="9" style="125" bestFit="1" customWidth="1"/>
    <col min="40" max="41" width="8.85546875" style="125"/>
    <col min="42" max="44" width="13.7109375" style="125" bestFit="1" customWidth="1"/>
    <col min="45" max="45" width="14.140625" style="125" bestFit="1" customWidth="1"/>
    <col min="46" max="46" width="14" style="125" bestFit="1" customWidth="1"/>
    <col min="47" max="16384" width="8.85546875" style="125"/>
  </cols>
  <sheetData>
    <row r="1" spans="2:46" x14ac:dyDescent="0.25">
      <c r="L1" s="124"/>
      <c r="M1" s="125"/>
      <c r="N1" s="125"/>
      <c r="O1" s="125"/>
      <c r="AD1" s="125"/>
      <c r="AE1" s="125"/>
      <c r="AF1" s="125"/>
      <c r="AG1" s="125"/>
      <c r="AH1" s="125"/>
      <c r="AI1" s="125"/>
      <c r="AJ1" s="125"/>
      <c r="AK1" s="125"/>
    </row>
    <row r="2" spans="2:46" s="164" customFormat="1" ht="49.5" x14ac:dyDescent="0.25">
      <c r="B2" s="181" t="s">
        <v>40</v>
      </c>
      <c r="C2" s="181" t="s">
        <v>160</v>
      </c>
      <c r="D2" s="181" t="s">
        <v>337</v>
      </c>
      <c r="E2" s="287" t="s">
        <v>338</v>
      </c>
      <c r="F2" s="287"/>
      <c r="G2" s="287"/>
      <c r="H2" s="287"/>
      <c r="I2" s="287"/>
      <c r="J2" s="287"/>
      <c r="K2" s="287"/>
      <c r="L2" s="181" t="s">
        <v>41</v>
      </c>
      <c r="M2" s="181" t="s">
        <v>42</v>
      </c>
      <c r="N2" s="181" t="s">
        <v>238</v>
      </c>
      <c r="O2" s="181" t="s">
        <v>43</v>
      </c>
      <c r="P2" s="287" t="s">
        <v>44</v>
      </c>
      <c r="Q2" s="287"/>
      <c r="R2" s="287"/>
      <c r="S2" s="287"/>
      <c r="T2" s="287"/>
      <c r="U2" s="287" t="s">
        <v>336</v>
      </c>
      <c r="V2" s="287"/>
      <c r="W2" s="287"/>
      <c r="X2" s="287"/>
      <c r="Y2" s="287"/>
      <c r="Z2" s="287"/>
      <c r="AA2" s="287"/>
      <c r="AB2" s="287"/>
      <c r="AC2" s="287"/>
      <c r="AD2" s="294" t="s">
        <v>339</v>
      </c>
      <c r="AE2" s="295"/>
      <c r="AF2" s="295"/>
      <c r="AG2" s="295"/>
      <c r="AH2" s="295"/>
      <c r="AI2" s="295"/>
      <c r="AJ2" s="295"/>
      <c r="AK2" s="296"/>
      <c r="AL2" s="181" t="s">
        <v>350</v>
      </c>
      <c r="AP2" s="427" t="s">
        <v>952</v>
      </c>
      <c r="AQ2" s="428"/>
      <c r="AR2" s="428"/>
      <c r="AS2" s="428"/>
      <c r="AT2" s="429"/>
    </row>
    <row r="3" spans="2:46" s="144" customFormat="1" x14ac:dyDescent="0.25">
      <c r="B3" s="181"/>
      <c r="C3" s="145"/>
      <c r="D3" s="145"/>
      <c r="E3" s="181">
        <v>2025</v>
      </c>
      <c r="F3" s="181">
        <f>+E3+1</f>
        <v>2026</v>
      </c>
      <c r="G3" s="181">
        <f t="shared" ref="G3:K3" si="0">+F3+1</f>
        <v>2027</v>
      </c>
      <c r="H3" s="181">
        <f t="shared" si="0"/>
        <v>2028</v>
      </c>
      <c r="I3" s="181">
        <f t="shared" si="0"/>
        <v>2029</v>
      </c>
      <c r="J3" s="181">
        <f t="shared" si="0"/>
        <v>2030</v>
      </c>
      <c r="K3" s="181">
        <f t="shared" si="0"/>
        <v>2031</v>
      </c>
      <c r="L3" s="181"/>
      <c r="M3" s="145"/>
      <c r="N3" s="145"/>
      <c r="O3" s="145"/>
      <c r="P3" s="181">
        <v>2018</v>
      </c>
      <c r="Q3" s="181">
        <v>2019</v>
      </c>
      <c r="R3" s="181">
        <v>2020</v>
      </c>
      <c r="S3" s="181">
        <v>2021</v>
      </c>
      <c r="T3" s="181">
        <v>2022</v>
      </c>
      <c r="U3" s="181">
        <v>2023</v>
      </c>
      <c r="V3" s="181">
        <f>+U3+1</f>
        <v>2024</v>
      </c>
      <c r="W3" s="181">
        <f t="shared" ref="W3:AC3" si="1">+V3+1</f>
        <v>2025</v>
      </c>
      <c r="X3" s="181">
        <f t="shared" si="1"/>
        <v>2026</v>
      </c>
      <c r="Y3" s="181">
        <f t="shared" si="1"/>
        <v>2027</v>
      </c>
      <c r="Z3" s="181">
        <f t="shared" si="1"/>
        <v>2028</v>
      </c>
      <c r="AA3" s="181">
        <f t="shared" si="1"/>
        <v>2029</v>
      </c>
      <c r="AB3" s="181">
        <f t="shared" si="1"/>
        <v>2030</v>
      </c>
      <c r="AC3" s="181">
        <f t="shared" si="1"/>
        <v>2031</v>
      </c>
      <c r="AD3" s="181">
        <v>2025</v>
      </c>
      <c r="AE3" s="181">
        <f>+AD3+1</f>
        <v>2026</v>
      </c>
      <c r="AF3" s="181">
        <f t="shared" ref="AF3:AJ3" si="2">+AE3+1</f>
        <v>2027</v>
      </c>
      <c r="AG3" s="181">
        <f t="shared" si="2"/>
        <v>2028</v>
      </c>
      <c r="AH3" s="181">
        <f t="shared" si="2"/>
        <v>2029</v>
      </c>
      <c r="AI3" s="181">
        <f t="shared" si="2"/>
        <v>2030</v>
      </c>
      <c r="AJ3" s="181">
        <f t="shared" si="2"/>
        <v>2031</v>
      </c>
      <c r="AK3" s="181" t="s">
        <v>708</v>
      </c>
      <c r="AL3" s="181"/>
      <c r="AP3" s="171">
        <v>2031</v>
      </c>
      <c r="AQ3" s="171">
        <v>2032</v>
      </c>
      <c r="AR3" s="171">
        <v>2033</v>
      </c>
      <c r="AS3" s="171">
        <v>2034</v>
      </c>
      <c r="AT3" s="171">
        <v>2035</v>
      </c>
    </row>
    <row r="4" spans="2:46" ht="99" x14ac:dyDescent="0.25">
      <c r="B4" s="365" t="s">
        <v>47</v>
      </c>
      <c r="C4" s="401" t="s">
        <v>994</v>
      </c>
      <c r="D4" s="389"/>
      <c r="E4" s="389"/>
      <c r="F4" s="389"/>
      <c r="G4" s="389"/>
      <c r="H4" s="389"/>
      <c r="I4" s="389"/>
      <c r="J4" s="389"/>
      <c r="K4" s="389"/>
      <c r="L4" s="187" t="s">
        <v>74</v>
      </c>
      <c r="M4" s="188" t="s">
        <v>223</v>
      </c>
      <c r="N4" s="188" t="str">
        <f>'Strategic level'!F75</f>
        <v>Պետական բյուջեի հաշվետվություն, ՀՀ ֆինանսների նախարարություն, Արմստատբանկ, Արմստատ</v>
      </c>
      <c r="O4" s="188" t="str">
        <f>'Strategic level'!G75</f>
        <v>ՀՀ պետական բյուջեի՝ զբաղվածության ծրագրի գծով ​ծախսերի (փաստացի, ընթացիկ գներով) աճի տեմպի և  զբաղվածների (ՀՀ ընդամենը, 15-74 տարեկան) թվաքանակի աճի տեմպի հարաբերությունը</v>
      </c>
      <c r="P4" s="163">
        <f>IF(ISBLANK('Strategic level'!H75)," ",'Strategic level'!H75)</f>
        <v>0.85904827636528991</v>
      </c>
      <c r="Q4" s="163">
        <f>IF(ISBLANK('Strategic level'!I75)," ",'Strategic level'!I75)</f>
        <v>3.781811882663022</v>
      </c>
      <c r="R4" s="163">
        <f>IF(ISBLANK('Strategic level'!J75)," ",'Strategic level'!J75)</f>
        <v>1.1536765478808915</v>
      </c>
      <c r="S4" s="163">
        <f>IF(ISBLANK('Strategic level'!K75)," ",'Strategic level'!K75)</f>
        <v>0.84758997819274573</v>
      </c>
      <c r="T4" s="163">
        <f>IF(ISBLANK('Strategic level'!L75)," ",'Strategic level'!L75)</f>
        <v>0.49288008381439341</v>
      </c>
      <c r="U4" s="163">
        <f>IF(ISBLANK('Strategic level'!M75)," ",'Strategic level'!M75)</f>
        <v>1.1619241202396153</v>
      </c>
      <c r="V4" s="163">
        <f>+(U4+W4)/2</f>
        <v>0.73766163493902792</v>
      </c>
      <c r="W4" s="163">
        <f>IF(ISBLANK('Strategic level'!O75)," ",'Strategic level'!O75)</f>
        <v>0.31339914963844062</v>
      </c>
      <c r="X4" s="163">
        <f>IF(ISBLANK('Strategic level'!P75)," ",'Strategic level'!P75)</f>
        <v>72.784003515710836</v>
      </c>
      <c r="Y4" s="163">
        <f>IF(ISBLANK('Strategic level'!Q75)," ",'Strategic level'!Q75)</f>
        <v>1.2769512929547069</v>
      </c>
      <c r="Z4" s="163">
        <f>IF(ISBLANK('Strategic level'!R75)," ",'Strategic level'!R75)</f>
        <v>1.4170151759383753</v>
      </c>
      <c r="AA4" s="163">
        <f>IF(ISBLANK('Strategic level'!S75)," ",'Strategic level'!S75)</f>
        <v>1.1380741723957517</v>
      </c>
      <c r="AB4" s="163">
        <f>IF(ISBLANK('Strategic level'!T75)," ",'Strategic level'!T75)</f>
        <v>1.2167921238052943</v>
      </c>
      <c r="AC4" s="163">
        <f>IF(ISBLANK('Strategic level'!U75)," ",'Strategic level'!U75)</f>
        <v>1.1728695214528837</v>
      </c>
      <c r="AD4" s="367">
        <f t="shared" ref="AD4:AK4" si="3">AD6+AD11+AD12+AD21</f>
        <v>180000</v>
      </c>
      <c r="AE4" s="367">
        <f t="shared" si="3"/>
        <v>689000</v>
      </c>
      <c r="AF4" s="367">
        <f t="shared" si="3"/>
        <v>570000</v>
      </c>
      <c r="AG4" s="367">
        <f t="shared" si="3"/>
        <v>462000</v>
      </c>
      <c r="AH4" s="367">
        <f t="shared" si="3"/>
        <v>444000</v>
      </c>
      <c r="AI4" s="367">
        <f t="shared" si="3"/>
        <v>512000</v>
      </c>
      <c r="AJ4" s="367">
        <f t="shared" si="3"/>
        <v>566000</v>
      </c>
      <c r="AK4" s="367">
        <f t="shared" si="3"/>
        <v>3423000</v>
      </c>
      <c r="AL4" s="367"/>
      <c r="AP4" s="297">
        <f>SUM(AP6:AP1048576)</f>
        <v>409000</v>
      </c>
      <c r="AQ4" s="297">
        <f>SUM(AQ6:AQ1048576)</f>
        <v>426000</v>
      </c>
      <c r="AR4" s="297">
        <f>SUM(AR6:AR1048576)</f>
        <v>443000</v>
      </c>
      <c r="AS4" s="297">
        <f>SUM(AS6:AS1048576)</f>
        <v>461000</v>
      </c>
      <c r="AT4" s="297">
        <f>SUM(AT6:AT1048576)</f>
        <v>479000</v>
      </c>
    </row>
    <row r="5" spans="2:46" ht="66" x14ac:dyDescent="0.25">
      <c r="B5" s="365"/>
      <c r="C5" s="401"/>
      <c r="D5" s="391"/>
      <c r="E5" s="391"/>
      <c r="F5" s="391"/>
      <c r="G5" s="391"/>
      <c r="H5" s="391"/>
      <c r="I5" s="391"/>
      <c r="J5" s="391"/>
      <c r="K5" s="391"/>
      <c r="L5" s="187" t="s">
        <v>77</v>
      </c>
      <c r="M5" s="188" t="s">
        <v>224</v>
      </c>
      <c r="N5" s="188" t="str">
        <f>'Strategic level'!F81</f>
        <v>Պետական բյուջեի հաշվետվություն, ՀՀ ֆինանսների նախարարություն</v>
      </c>
      <c r="O5" s="188" t="str">
        <f>'Strategic level'!G81</f>
        <v>ՀՀ պետական բյուջեի՝ զբաղվածության ծրագրի գծով ծախսերի և եկամտային հարկի գծով եկամուտների հարաբերությունը (փաստացի, ընթացիկ գներով)</v>
      </c>
      <c r="P5" s="147">
        <f>IF(ISBLANK('Strategic level'!H81)," ",'Strategic level'!H81)</f>
        <v>1.2434869580995067E-3</v>
      </c>
      <c r="Q5" s="147">
        <f>IF(ISBLANK('Strategic level'!I81)," ",'Strategic level'!I81)</f>
        <v>3.9093100498898518E-3</v>
      </c>
      <c r="R5" s="147">
        <f>IF(ISBLANK('Strategic level'!J81)," ",'Strategic level'!J81)</f>
        <v>4.7186299389207426E-3</v>
      </c>
      <c r="S5" s="147">
        <f>IF(ISBLANK('Strategic level'!K81)," ",'Strategic level'!K81)</f>
        <v>3.9926377698403723E-3</v>
      </c>
      <c r="T5" s="147">
        <f>IF(ISBLANK('Strategic level'!L81)," ",'Strategic level'!L81)</f>
        <v>1.8422797772498273E-3</v>
      </c>
      <c r="U5" s="147">
        <f>IF(ISBLANK('Strategic level'!M81)," ",'Strategic level'!M81)</f>
        <v>1.4354031088934019E-3</v>
      </c>
      <c r="V5" s="147">
        <f>+(U5+W5)/2</f>
        <v>9.1852928378400732E-4</v>
      </c>
      <c r="W5" s="147">
        <f>IF(ISBLANK('Strategic level'!O81)," ",'Strategic level'!O81)</f>
        <v>4.0165545867461267E-4</v>
      </c>
      <c r="X5" s="147">
        <f>IF(ISBLANK('Strategic level'!P81)," ",'Strategic level'!P81)</f>
        <v>2.6101868139533441E-2</v>
      </c>
      <c r="Y5" s="147">
        <f>IF(ISBLANK('Strategic level'!Q81)," ",'Strategic level'!Q81)</f>
        <v>2.9759655597598658E-2</v>
      </c>
      <c r="Z5" s="147">
        <f>IF(ISBLANK('Strategic level'!R81)," ",'Strategic level'!R81)</f>
        <v>3.7651681796872068E-2</v>
      </c>
      <c r="AA5" s="147">
        <f>IF(ISBLANK('Strategic level'!S81)," ",'Strategic level'!S81)</f>
        <v>3.825929160739585E-2</v>
      </c>
      <c r="AB5" s="147">
        <f>IF(ISBLANK('Strategic level'!T81)," ",'Strategic level'!T81)</f>
        <v>4.1565718473436847E-2</v>
      </c>
      <c r="AC5" s="147">
        <f>IF(ISBLANK('Strategic level'!U81)," ",'Strategic level'!U81)</f>
        <v>4.3527825298915329E-2</v>
      </c>
      <c r="AD5" s="369"/>
      <c r="AE5" s="369"/>
      <c r="AF5" s="369"/>
      <c r="AG5" s="369"/>
      <c r="AH5" s="369"/>
      <c r="AI5" s="369"/>
      <c r="AJ5" s="369"/>
      <c r="AK5" s="369"/>
      <c r="AL5" s="369"/>
      <c r="AP5" s="299"/>
      <c r="AQ5" s="299"/>
      <c r="AR5" s="299"/>
      <c r="AS5" s="299"/>
      <c r="AT5" s="299"/>
    </row>
    <row r="6" spans="2:46" x14ac:dyDescent="0.25">
      <c r="B6" s="128" t="s">
        <v>605</v>
      </c>
      <c r="C6" s="129" t="s">
        <v>606</v>
      </c>
      <c r="D6" s="129"/>
      <c r="E6" s="129"/>
      <c r="F6" s="129"/>
      <c r="G6" s="129"/>
      <c r="H6" s="129"/>
      <c r="I6" s="129"/>
      <c r="J6" s="129"/>
      <c r="K6" s="129"/>
      <c r="L6" s="154"/>
      <c r="M6" s="129"/>
      <c r="N6" s="129"/>
      <c r="O6" s="129"/>
      <c r="P6" s="129"/>
      <c r="Q6" s="129"/>
      <c r="R6" s="129"/>
      <c r="S6" s="129"/>
      <c r="T6" s="129"/>
      <c r="U6" s="129"/>
      <c r="V6" s="129"/>
      <c r="W6" s="129"/>
      <c r="X6" s="129"/>
      <c r="Y6" s="129"/>
      <c r="Z6" s="129"/>
      <c r="AA6" s="129"/>
      <c r="AB6" s="129"/>
      <c r="AC6" s="129"/>
      <c r="AD6" s="261">
        <f>AD7</f>
        <v>25000</v>
      </c>
      <c r="AE6" s="261">
        <f>AE7</f>
        <v>56000</v>
      </c>
      <c r="AF6" s="261">
        <f t="shared" ref="AF6:AJ6" si="4">AF7</f>
        <v>49000</v>
      </c>
      <c r="AG6" s="261">
        <f t="shared" si="4"/>
        <v>51000</v>
      </c>
      <c r="AH6" s="261">
        <f t="shared" si="4"/>
        <v>88000</v>
      </c>
      <c r="AI6" s="261">
        <f t="shared" si="4"/>
        <v>109000</v>
      </c>
      <c r="AJ6" s="261">
        <f t="shared" si="4"/>
        <v>114000</v>
      </c>
      <c r="AK6" s="261">
        <f>AK7</f>
        <v>492000</v>
      </c>
      <c r="AL6" s="247"/>
    </row>
    <row r="7" spans="2:46" ht="115.5" x14ac:dyDescent="0.25">
      <c r="B7" s="187" t="s">
        <v>607</v>
      </c>
      <c r="C7" s="188" t="s">
        <v>608</v>
      </c>
      <c r="D7" s="191"/>
      <c r="E7" s="191"/>
      <c r="F7" s="191"/>
      <c r="G7" s="191"/>
      <c r="H7" s="191"/>
      <c r="I7" s="191"/>
      <c r="J7" s="191"/>
      <c r="K7" s="191"/>
      <c r="L7" s="190" t="s">
        <v>609</v>
      </c>
      <c r="M7" s="201" t="s">
        <v>610</v>
      </c>
      <c r="N7" s="201"/>
      <c r="O7" s="201"/>
      <c r="P7" s="140" t="s">
        <v>205</v>
      </c>
      <c r="Q7" s="140" t="s">
        <v>205</v>
      </c>
      <c r="R7" s="140" t="s">
        <v>205</v>
      </c>
      <c r="S7" s="140" t="s">
        <v>205</v>
      </c>
      <c r="T7" s="140" t="s">
        <v>205</v>
      </c>
      <c r="U7" s="159"/>
      <c r="V7" s="159"/>
      <c r="W7" s="159" t="s">
        <v>362</v>
      </c>
      <c r="X7" s="159" t="s">
        <v>362</v>
      </c>
      <c r="Y7" s="159"/>
      <c r="Z7" s="159"/>
      <c r="AA7" s="159"/>
      <c r="AB7" s="159"/>
      <c r="AC7" s="159"/>
      <c r="AD7" s="192">
        <f t="shared" ref="AD7:AJ7" si="5">AD8+AD9+AD10</f>
        <v>25000</v>
      </c>
      <c r="AE7" s="192">
        <f>AE8+AE9+AE10</f>
        <v>56000</v>
      </c>
      <c r="AF7" s="192">
        <f t="shared" si="5"/>
        <v>49000</v>
      </c>
      <c r="AG7" s="192">
        <f t="shared" si="5"/>
        <v>51000</v>
      </c>
      <c r="AH7" s="192">
        <f t="shared" si="5"/>
        <v>88000</v>
      </c>
      <c r="AI7" s="192">
        <f t="shared" si="5"/>
        <v>109000</v>
      </c>
      <c r="AJ7" s="192">
        <f t="shared" si="5"/>
        <v>114000</v>
      </c>
      <c r="AK7" s="192">
        <f>AK8+AK9+AK10</f>
        <v>492000</v>
      </c>
      <c r="AL7" s="192"/>
    </row>
    <row r="8" spans="2:46" ht="82.5" x14ac:dyDescent="0.25">
      <c r="B8" s="176" t="s">
        <v>611</v>
      </c>
      <c r="C8" s="198" t="s">
        <v>612</v>
      </c>
      <c r="D8" s="64" t="s">
        <v>736</v>
      </c>
      <c r="E8" s="185"/>
      <c r="F8" s="138"/>
      <c r="G8" s="138"/>
      <c r="H8" s="185"/>
      <c r="I8" s="185"/>
      <c r="J8" s="185"/>
      <c r="K8" s="185"/>
      <c r="L8" s="64" t="s">
        <v>613</v>
      </c>
      <c r="M8" s="130" t="s">
        <v>126</v>
      </c>
      <c r="N8" s="130"/>
      <c r="O8" s="130"/>
      <c r="P8" s="165" t="s">
        <v>205</v>
      </c>
      <c r="Q8" s="165" t="s">
        <v>205</v>
      </c>
      <c r="R8" s="165" t="s">
        <v>205</v>
      </c>
      <c r="S8" s="165" t="s">
        <v>205</v>
      </c>
      <c r="T8" s="165" t="s">
        <v>205</v>
      </c>
      <c r="U8" s="160"/>
      <c r="V8" s="160"/>
      <c r="W8" s="160" t="s">
        <v>362</v>
      </c>
      <c r="X8" s="160"/>
      <c r="Y8" s="160"/>
      <c r="Z8" s="160"/>
      <c r="AA8" s="160"/>
      <c r="AB8" s="160"/>
      <c r="AC8" s="160"/>
      <c r="AD8" s="135">
        <f>+Variables!W3</f>
        <v>25000</v>
      </c>
      <c r="AE8" s="135"/>
      <c r="AF8" s="136"/>
      <c r="AG8" s="136"/>
      <c r="AH8" s="136"/>
      <c r="AI8" s="136"/>
      <c r="AJ8" s="136"/>
      <c r="AK8" s="135">
        <f>SUM(AD8:AJ8)</f>
        <v>25000</v>
      </c>
      <c r="AL8" s="130" t="s">
        <v>401</v>
      </c>
    </row>
    <row r="9" spans="2:46" ht="148.5" x14ac:dyDescent="0.25">
      <c r="B9" s="184" t="s">
        <v>614</v>
      </c>
      <c r="C9" s="198" t="s">
        <v>1045</v>
      </c>
      <c r="D9" s="64" t="s">
        <v>736</v>
      </c>
      <c r="E9" s="185"/>
      <c r="F9" s="138"/>
      <c r="G9" s="138"/>
      <c r="H9" s="138"/>
      <c r="I9" s="138"/>
      <c r="J9" s="138"/>
      <c r="K9" s="138"/>
      <c r="L9" s="64" t="s">
        <v>615</v>
      </c>
      <c r="M9" s="130" t="s">
        <v>616</v>
      </c>
      <c r="N9" s="130"/>
      <c r="O9" s="130"/>
      <c r="P9" s="165" t="s">
        <v>205</v>
      </c>
      <c r="Q9" s="165" t="s">
        <v>205</v>
      </c>
      <c r="R9" s="165" t="s">
        <v>205</v>
      </c>
      <c r="S9" s="165" t="s">
        <v>205</v>
      </c>
      <c r="T9" s="165" t="s">
        <v>205</v>
      </c>
      <c r="U9" s="160"/>
      <c r="V9" s="160"/>
      <c r="W9" s="160"/>
      <c r="X9" s="160">
        <f>ROUND(('StG 1'!X71-'StG 1'!W71+'StG 1'!X72-'StG 1'!W72)*'Strategic level'!P5/'Strategic level'!O5,0)</f>
        <v>1</v>
      </c>
      <c r="Y9" s="160">
        <f>ROUND(('StG 1'!Y71-'StG 1'!X71+'StG 1'!Y72-'StG 1'!X72)*'Strategic level'!Q5/'Strategic level'!P5,0)</f>
        <v>3</v>
      </c>
      <c r="Z9" s="160">
        <f>ROUND(('StG 1'!Z71-'StG 1'!Y71+'StG 1'!Z72-'StG 1'!Y72)*'Strategic level'!R5/'Strategic level'!Q5,0)</f>
        <v>3</v>
      </c>
      <c r="AA9" s="160">
        <f>ROUND(('StG 1'!AA71-'StG 1'!Z71+'StG 1'!AA72-'StG 1'!Z72)*'Strategic level'!S5/'Strategic level'!R5,0)</f>
        <v>5</v>
      </c>
      <c r="AB9" s="160">
        <f>ROUND(('StG 1'!AB71-'StG 1'!AA71+'StG 1'!AB72-'StG 1'!AA72)*'Strategic level'!T5/'Strategic level'!S5,0)</f>
        <v>6</v>
      </c>
      <c r="AC9" s="160">
        <f>ROUND(('StG 1'!AC71-'StG 1'!AB71+'StG 1'!AC72-'StG 1'!AB72)*'Strategic level'!U5/'Strategic level'!T5,0)</f>
        <v>6</v>
      </c>
      <c r="AD9" s="136"/>
      <c r="AE9" s="135">
        <f>ROUND(Variables!W4*1.04^1*X9,-3)</f>
        <v>16000</v>
      </c>
      <c r="AF9" s="135">
        <f>ROUND(Variables!W4*1.04^2*Y9,-3)</f>
        <v>49000</v>
      </c>
      <c r="AG9" s="135">
        <f>ROUND(Variables!W4*1.04^3*Z9,-3)</f>
        <v>51000</v>
      </c>
      <c r="AH9" s="135">
        <f>ROUND(Variables!W4*1.04^4*AA9,-3)</f>
        <v>88000</v>
      </c>
      <c r="AI9" s="135">
        <f>ROUND(Variables!W4*1.04^5*AB9,-3)</f>
        <v>109000</v>
      </c>
      <c r="AJ9" s="135">
        <f>ROUND(Variables!W4*1.04^6*AC9,-3)</f>
        <v>114000</v>
      </c>
      <c r="AK9" s="135">
        <f>SUM(AD9:AJ9)</f>
        <v>427000</v>
      </c>
      <c r="AL9" s="130" t="s">
        <v>729</v>
      </c>
      <c r="AP9" s="170">
        <f>ROUND(AJ9*1.04,-3)</f>
        <v>119000</v>
      </c>
      <c r="AQ9" s="170">
        <f>ROUND(AP9*1.04,-3)</f>
        <v>124000</v>
      </c>
      <c r="AR9" s="170">
        <f t="shared" ref="AR9:AT9" si="6">ROUND(AQ9*1.04,-3)</f>
        <v>129000</v>
      </c>
      <c r="AS9" s="170">
        <f t="shared" si="6"/>
        <v>134000</v>
      </c>
      <c r="AT9" s="170">
        <f t="shared" si="6"/>
        <v>139000</v>
      </c>
    </row>
    <row r="10" spans="2:46" ht="82.5" x14ac:dyDescent="0.25">
      <c r="B10" s="184" t="s">
        <v>617</v>
      </c>
      <c r="C10" s="185" t="s">
        <v>618</v>
      </c>
      <c r="D10" s="64" t="s">
        <v>736</v>
      </c>
      <c r="E10" s="185"/>
      <c r="F10" s="138"/>
      <c r="G10" s="185"/>
      <c r="H10" s="185"/>
      <c r="I10" s="185"/>
      <c r="J10" s="185"/>
      <c r="K10" s="185"/>
      <c r="L10" s="64" t="s">
        <v>619</v>
      </c>
      <c r="M10" s="130" t="s">
        <v>620</v>
      </c>
      <c r="N10" s="130"/>
      <c r="O10" s="130"/>
      <c r="P10" s="165" t="s">
        <v>205</v>
      </c>
      <c r="Q10" s="165" t="s">
        <v>205</v>
      </c>
      <c r="R10" s="165" t="s">
        <v>205</v>
      </c>
      <c r="S10" s="165" t="s">
        <v>205</v>
      </c>
      <c r="T10" s="165" t="s">
        <v>205</v>
      </c>
      <c r="U10" s="160"/>
      <c r="V10" s="160"/>
      <c r="W10" s="160"/>
      <c r="X10" s="160" t="s">
        <v>362</v>
      </c>
      <c r="Y10" s="160"/>
      <c r="Z10" s="160"/>
      <c r="AA10" s="160"/>
      <c r="AB10" s="160"/>
      <c r="AC10" s="160"/>
      <c r="AD10" s="136"/>
      <c r="AE10" s="135">
        <f>+Variables!W5</f>
        <v>40000</v>
      </c>
      <c r="AF10" s="136"/>
      <c r="AG10" s="136"/>
      <c r="AH10" s="136"/>
      <c r="AI10" s="136"/>
      <c r="AJ10" s="136"/>
      <c r="AK10" s="135">
        <f>SUM(AD10:AJ10)</f>
        <v>40000</v>
      </c>
      <c r="AL10" s="130" t="s">
        <v>401</v>
      </c>
    </row>
    <row r="11" spans="2:46" s="179" customFormat="1" ht="99" x14ac:dyDescent="0.25">
      <c r="B11" s="128" t="s">
        <v>622</v>
      </c>
      <c r="C11" s="154" t="s">
        <v>623</v>
      </c>
      <c r="D11" s="129"/>
      <c r="E11" s="129"/>
      <c r="F11" s="129"/>
      <c r="G11" s="129"/>
      <c r="H11" s="129"/>
      <c r="I11" s="129"/>
      <c r="J11" s="129"/>
      <c r="K11" s="129"/>
      <c r="L11" s="129"/>
      <c r="M11" s="128"/>
      <c r="N11" s="129"/>
      <c r="O11" s="129"/>
      <c r="P11" s="129"/>
      <c r="Q11" s="129"/>
      <c r="R11" s="129"/>
      <c r="S11" s="129"/>
      <c r="T11" s="129"/>
      <c r="U11" s="129"/>
      <c r="V11" s="129"/>
      <c r="W11" s="129"/>
      <c r="X11" s="129"/>
      <c r="Y11" s="129"/>
      <c r="Z11" s="129"/>
      <c r="AA11" s="129"/>
      <c r="AB11" s="129"/>
      <c r="AC11" s="129"/>
      <c r="AD11" s="129"/>
      <c r="AE11" s="261"/>
      <c r="AF11" s="261"/>
      <c r="AG11" s="261"/>
      <c r="AH11" s="261"/>
      <c r="AI11" s="261"/>
      <c r="AJ11" s="261"/>
      <c r="AK11" s="261"/>
      <c r="AL11" s="261"/>
    </row>
    <row r="12" spans="2:46" x14ac:dyDescent="0.25">
      <c r="B12" s="128" t="s">
        <v>624</v>
      </c>
      <c r="C12" s="129" t="s">
        <v>625</v>
      </c>
      <c r="D12" s="129"/>
      <c r="E12" s="129"/>
      <c r="F12" s="129"/>
      <c r="G12" s="129"/>
      <c r="H12" s="129"/>
      <c r="I12" s="129"/>
      <c r="J12" s="129"/>
      <c r="K12" s="129"/>
      <c r="L12" s="128"/>
      <c r="M12" s="129"/>
      <c r="N12" s="129"/>
      <c r="O12" s="129"/>
      <c r="P12" s="129"/>
      <c r="Q12" s="129"/>
      <c r="R12" s="129"/>
      <c r="S12" s="129"/>
      <c r="T12" s="129"/>
      <c r="U12" s="129"/>
      <c r="V12" s="129"/>
      <c r="W12" s="129"/>
      <c r="X12" s="129"/>
      <c r="Y12" s="129"/>
      <c r="Z12" s="129"/>
      <c r="AA12" s="129"/>
      <c r="AB12" s="129"/>
      <c r="AC12" s="129"/>
      <c r="AD12" s="261">
        <f>AD13</f>
        <v>75000</v>
      </c>
      <c r="AE12" s="261">
        <f t="shared" ref="AE12:AK12" si="7">AE13</f>
        <v>207000</v>
      </c>
      <c r="AF12" s="261">
        <f t="shared" si="7"/>
        <v>279000</v>
      </c>
      <c r="AG12" s="261">
        <f t="shared" si="7"/>
        <v>128000</v>
      </c>
      <c r="AH12" s="261">
        <f t="shared" si="7"/>
        <v>29000</v>
      </c>
      <c r="AI12" s="261">
        <f t="shared" si="7"/>
        <v>30000</v>
      </c>
      <c r="AJ12" s="261">
        <f t="shared" si="7"/>
        <v>31000</v>
      </c>
      <c r="AK12" s="261">
        <f t="shared" si="7"/>
        <v>779000</v>
      </c>
      <c r="AL12" s="247"/>
    </row>
    <row r="13" spans="2:46" ht="114" customHeight="1" x14ac:dyDescent="0.25">
      <c r="B13" s="187" t="s">
        <v>626</v>
      </c>
      <c r="C13" s="188" t="s">
        <v>627</v>
      </c>
      <c r="D13" s="201"/>
      <c r="E13" s="201"/>
      <c r="F13" s="201"/>
      <c r="G13" s="201"/>
      <c r="H13" s="201"/>
      <c r="I13" s="201"/>
      <c r="J13" s="201"/>
      <c r="K13" s="201"/>
      <c r="L13" s="190" t="s">
        <v>628</v>
      </c>
      <c r="M13" s="201" t="s">
        <v>629</v>
      </c>
      <c r="N13" s="201"/>
      <c r="O13" s="201"/>
      <c r="P13" s="140" t="s">
        <v>203</v>
      </c>
      <c r="Q13" s="140" t="s">
        <v>203</v>
      </c>
      <c r="R13" s="140" t="s">
        <v>203</v>
      </c>
      <c r="S13" s="140" t="s">
        <v>203</v>
      </c>
      <c r="T13" s="140" t="s">
        <v>203</v>
      </c>
      <c r="U13" s="159"/>
      <c r="V13" s="159"/>
      <c r="W13" s="159"/>
      <c r="X13" s="472" t="s">
        <v>928</v>
      </c>
      <c r="Y13" s="473"/>
      <c r="Z13" s="473"/>
      <c r="AA13" s="473"/>
      <c r="AB13" s="473"/>
      <c r="AC13" s="474"/>
      <c r="AD13" s="132">
        <f>AD14+AD15+AD16+AD17+AD18+AD19+AD20</f>
        <v>75000</v>
      </c>
      <c r="AE13" s="132">
        <f t="shared" ref="AE13:AJ13" si="8">AE14+AE15+AE16+AE17+AE18+AE19+AE20</f>
        <v>207000</v>
      </c>
      <c r="AF13" s="132">
        <f t="shared" si="8"/>
        <v>279000</v>
      </c>
      <c r="AG13" s="132">
        <f t="shared" si="8"/>
        <v>128000</v>
      </c>
      <c r="AH13" s="132">
        <f t="shared" si="8"/>
        <v>29000</v>
      </c>
      <c r="AI13" s="132">
        <f t="shared" si="8"/>
        <v>30000</v>
      </c>
      <c r="AJ13" s="132">
        <f t="shared" si="8"/>
        <v>31000</v>
      </c>
      <c r="AK13" s="132">
        <f>AK14+AK15+AK16+AK17+AK18+AK19+AK20</f>
        <v>779000</v>
      </c>
      <c r="AL13" s="161"/>
    </row>
    <row r="14" spans="2:46" s="179" customFormat="1" ht="82.5" x14ac:dyDescent="0.25">
      <c r="B14" s="176" t="s">
        <v>630</v>
      </c>
      <c r="C14" s="274" t="s">
        <v>1046</v>
      </c>
      <c r="D14" s="197" t="s">
        <v>736</v>
      </c>
      <c r="E14" s="198"/>
      <c r="F14" s="198"/>
      <c r="G14" s="198"/>
      <c r="H14" s="198"/>
      <c r="I14" s="198"/>
      <c r="J14" s="198"/>
      <c r="K14" s="198"/>
      <c r="L14" s="197" t="s">
        <v>632</v>
      </c>
      <c r="M14" s="130" t="s">
        <v>1056</v>
      </c>
      <c r="N14" s="198"/>
      <c r="O14" s="198"/>
      <c r="P14" s="269"/>
      <c r="Q14" s="269"/>
      <c r="R14" s="269"/>
      <c r="S14" s="269"/>
      <c r="T14" s="269"/>
      <c r="U14" s="175" t="s">
        <v>362</v>
      </c>
      <c r="V14" s="175"/>
      <c r="W14" s="175" t="s">
        <v>362</v>
      </c>
      <c r="X14" s="175"/>
      <c r="Y14" s="175"/>
      <c r="Z14" s="175"/>
      <c r="AA14" s="175"/>
      <c r="AB14" s="175"/>
      <c r="AC14" s="175"/>
      <c r="AD14" s="177">
        <f>+Variables!W7</f>
        <v>20000</v>
      </c>
      <c r="AE14" s="178"/>
      <c r="AF14" s="178"/>
      <c r="AG14" s="178"/>
      <c r="AH14" s="178"/>
      <c r="AI14" s="178"/>
      <c r="AJ14" s="178"/>
      <c r="AK14" s="177">
        <f>SUM(AD14:AJ14)</f>
        <v>20000</v>
      </c>
      <c r="AL14" s="198" t="s">
        <v>401</v>
      </c>
    </row>
    <row r="15" spans="2:46" ht="99" x14ac:dyDescent="0.25">
      <c r="B15" s="184" t="s">
        <v>631</v>
      </c>
      <c r="C15" s="185" t="s">
        <v>1188</v>
      </c>
      <c r="D15" s="64" t="s">
        <v>736</v>
      </c>
      <c r="E15" s="138"/>
      <c r="F15" s="138"/>
      <c r="G15" s="138"/>
      <c r="H15" s="138"/>
      <c r="I15" s="138"/>
      <c r="J15" s="138"/>
      <c r="K15" s="138"/>
      <c r="L15" s="64" t="s">
        <v>636</v>
      </c>
      <c r="M15" s="130" t="s">
        <v>633</v>
      </c>
      <c r="N15" s="130"/>
      <c r="O15" s="130"/>
      <c r="P15" s="165" t="s">
        <v>203</v>
      </c>
      <c r="Q15" s="165" t="s">
        <v>203</v>
      </c>
      <c r="R15" s="165" t="s">
        <v>203</v>
      </c>
      <c r="S15" s="165" t="s">
        <v>203</v>
      </c>
      <c r="T15" s="165" t="s">
        <v>203</v>
      </c>
      <c r="U15" s="160"/>
      <c r="V15" s="160"/>
      <c r="W15" s="160"/>
      <c r="X15" s="469" t="s">
        <v>734</v>
      </c>
      <c r="Y15" s="470"/>
      <c r="Z15" s="470"/>
      <c r="AA15" s="470"/>
      <c r="AB15" s="470"/>
      <c r="AC15" s="471"/>
      <c r="AD15" s="136"/>
      <c r="AE15" s="136"/>
      <c r="AF15" s="136"/>
      <c r="AG15" s="136"/>
      <c r="AH15" s="136"/>
      <c r="AI15" s="136"/>
      <c r="AJ15" s="136"/>
      <c r="AK15" s="136">
        <f t="shared" ref="AK15:AK17" si="9">SUM(AD15:AJ15)</f>
        <v>0</v>
      </c>
      <c r="AL15" s="260" t="s">
        <v>390</v>
      </c>
    </row>
    <row r="16" spans="2:46" ht="99" x14ac:dyDescent="0.25">
      <c r="B16" s="184" t="s">
        <v>634</v>
      </c>
      <c r="C16" s="185" t="s">
        <v>635</v>
      </c>
      <c r="D16" s="64" t="s">
        <v>736</v>
      </c>
      <c r="E16" s="138"/>
      <c r="F16" s="138"/>
      <c r="G16" s="138"/>
      <c r="H16" s="185"/>
      <c r="I16" s="185"/>
      <c r="J16" s="185"/>
      <c r="K16" s="185"/>
      <c r="L16" s="64" t="s">
        <v>639</v>
      </c>
      <c r="M16" s="130" t="s">
        <v>126</v>
      </c>
      <c r="N16" s="130"/>
      <c r="O16" s="130"/>
      <c r="P16" s="165" t="s">
        <v>205</v>
      </c>
      <c r="Q16" s="165" t="s">
        <v>205</v>
      </c>
      <c r="R16" s="165" t="s">
        <v>205</v>
      </c>
      <c r="S16" s="165" t="s">
        <v>205</v>
      </c>
      <c r="T16" s="165" t="s">
        <v>205</v>
      </c>
      <c r="U16" s="160"/>
      <c r="V16" s="160"/>
      <c r="W16" s="160" t="s">
        <v>362</v>
      </c>
      <c r="X16" s="160" t="s">
        <v>362</v>
      </c>
      <c r="Y16" s="160" t="s">
        <v>362</v>
      </c>
      <c r="Z16" s="160"/>
      <c r="AA16" s="160"/>
      <c r="AB16" s="160"/>
      <c r="AC16" s="160"/>
      <c r="AD16" s="135">
        <f>+Variables!W8</f>
        <v>30000</v>
      </c>
      <c r="AE16" s="135">
        <f>ROUND(AD16*1.04,-3)</f>
        <v>31000</v>
      </c>
      <c r="AF16" s="135">
        <f>ROUND(AE16*1.04,-3)</f>
        <v>32000</v>
      </c>
      <c r="AG16" s="136"/>
      <c r="AH16" s="136"/>
      <c r="AI16" s="136"/>
      <c r="AJ16" s="136"/>
      <c r="AK16" s="135">
        <f>SUM(AD16:AJ16)</f>
        <v>93000</v>
      </c>
      <c r="AL16" s="130" t="s">
        <v>401</v>
      </c>
    </row>
    <row r="17" spans="2:38" ht="49.5" x14ac:dyDescent="0.25">
      <c r="B17" s="184" t="s">
        <v>637</v>
      </c>
      <c r="C17" s="185" t="s">
        <v>638</v>
      </c>
      <c r="D17" s="64" t="s">
        <v>736</v>
      </c>
      <c r="E17" s="138"/>
      <c r="F17" s="138"/>
      <c r="G17" s="138"/>
      <c r="H17" s="138"/>
      <c r="I17" s="138"/>
      <c r="J17" s="138"/>
      <c r="K17" s="138"/>
      <c r="L17" s="64" t="s">
        <v>643</v>
      </c>
      <c r="M17" s="130" t="s">
        <v>640</v>
      </c>
      <c r="N17" s="130"/>
      <c r="O17" s="130"/>
      <c r="P17" s="165" t="s">
        <v>205</v>
      </c>
      <c r="Q17" s="165" t="s">
        <v>205</v>
      </c>
      <c r="R17" s="165" t="s">
        <v>205</v>
      </c>
      <c r="S17" s="165" t="s">
        <v>205</v>
      </c>
      <c r="T17" s="165" t="s">
        <v>205</v>
      </c>
      <c r="U17" s="160"/>
      <c r="V17" s="160"/>
      <c r="W17" s="160"/>
      <c r="X17" s="469" t="s">
        <v>734</v>
      </c>
      <c r="Y17" s="470"/>
      <c r="Z17" s="470"/>
      <c r="AA17" s="470"/>
      <c r="AB17" s="470"/>
      <c r="AC17" s="471"/>
      <c r="AD17" s="136"/>
      <c r="AE17" s="136"/>
      <c r="AF17" s="136"/>
      <c r="AG17" s="136"/>
      <c r="AH17" s="136"/>
      <c r="AI17" s="136"/>
      <c r="AJ17" s="136"/>
      <c r="AK17" s="136">
        <f t="shared" si="9"/>
        <v>0</v>
      </c>
      <c r="AL17" s="260" t="s">
        <v>390</v>
      </c>
    </row>
    <row r="18" spans="2:38" ht="99" x14ac:dyDescent="0.25">
      <c r="B18" s="184" t="s">
        <v>641</v>
      </c>
      <c r="C18" s="185" t="s">
        <v>642</v>
      </c>
      <c r="D18" s="64" t="s">
        <v>736</v>
      </c>
      <c r="E18" s="185"/>
      <c r="F18" s="185"/>
      <c r="G18" s="138"/>
      <c r="H18" s="185"/>
      <c r="I18" s="185"/>
      <c r="J18" s="185"/>
      <c r="K18" s="185"/>
      <c r="L18" s="64" t="s">
        <v>647</v>
      </c>
      <c r="M18" s="130" t="s">
        <v>644</v>
      </c>
      <c r="N18" s="130"/>
      <c r="O18" s="130"/>
      <c r="P18" s="165" t="s">
        <v>205</v>
      </c>
      <c r="Q18" s="165" t="s">
        <v>205</v>
      </c>
      <c r="R18" s="165" t="s">
        <v>205</v>
      </c>
      <c r="S18" s="165" t="s">
        <v>205</v>
      </c>
      <c r="T18" s="165" t="s">
        <v>205</v>
      </c>
      <c r="U18" s="160"/>
      <c r="V18" s="160"/>
      <c r="W18" s="160"/>
      <c r="X18" s="160"/>
      <c r="Y18" s="160" t="s">
        <v>362</v>
      </c>
      <c r="Z18" s="160"/>
      <c r="AA18" s="160"/>
      <c r="AB18" s="160"/>
      <c r="AC18" s="160"/>
      <c r="AD18" s="136"/>
      <c r="AE18" s="136"/>
      <c r="AF18" s="135">
        <f>+Variables!W9</f>
        <v>20000</v>
      </c>
      <c r="AG18" s="136"/>
      <c r="AH18" s="136"/>
      <c r="AI18" s="136"/>
      <c r="AJ18" s="136"/>
      <c r="AK18" s="135">
        <f>SUM(AD18:AJ18)</f>
        <v>20000</v>
      </c>
      <c r="AL18" s="130" t="s">
        <v>401</v>
      </c>
    </row>
    <row r="19" spans="2:38" ht="82.5" x14ac:dyDescent="0.25">
      <c r="B19" s="184" t="s">
        <v>645</v>
      </c>
      <c r="C19" s="185" t="s">
        <v>646</v>
      </c>
      <c r="D19" s="64" t="s">
        <v>736</v>
      </c>
      <c r="E19" s="138"/>
      <c r="F19" s="138"/>
      <c r="G19" s="138"/>
      <c r="H19" s="138"/>
      <c r="I19" s="138"/>
      <c r="J19" s="138"/>
      <c r="K19" s="138"/>
      <c r="L19" s="64" t="s">
        <v>649</v>
      </c>
      <c r="M19" s="130" t="s">
        <v>1189</v>
      </c>
      <c r="N19" s="130"/>
      <c r="O19" s="130"/>
      <c r="P19" s="165" t="s">
        <v>205</v>
      </c>
      <c r="Q19" s="165" t="s">
        <v>205</v>
      </c>
      <c r="R19" s="165" t="s">
        <v>205</v>
      </c>
      <c r="S19" s="165" t="s">
        <v>205</v>
      </c>
      <c r="T19" s="165" t="s">
        <v>205</v>
      </c>
      <c r="U19" s="160"/>
      <c r="V19" s="160"/>
      <c r="W19" s="160" t="s">
        <v>362</v>
      </c>
      <c r="X19" s="160" t="s">
        <v>362</v>
      </c>
      <c r="Y19" s="160" t="s">
        <v>362</v>
      </c>
      <c r="Z19" s="160" t="s">
        <v>362</v>
      </c>
      <c r="AA19" s="160" t="s">
        <v>362</v>
      </c>
      <c r="AB19" s="160" t="s">
        <v>362</v>
      </c>
      <c r="AC19" s="160" t="s">
        <v>362</v>
      </c>
      <c r="AD19" s="135">
        <f>+Variables!W10</f>
        <v>25000</v>
      </c>
      <c r="AE19" s="135">
        <f>ROUND(AD19*1.04,-3)</f>
        <v>26000</v>
      </c>
      <c r="AF19" s="135">
        <f>ROUND(AE19*1.04,-3)</f>
        <v>27000</v>
      </c>
      <c r="AG19" s="135">
        <f>ROUND(AF19*1.04,-3)</f>
        <v>28000</v>
      </c>
      <c r="AH19" s="135">
        <f t="shared" ref="AH19:AJ19" si="10">ROUND(AG19*1.04,-3)</f>
        <v>29000</v>
      </c>
      <c r="AI19" s="135">
        <f t="shared" si="10"/>
        <v>30000</v>
      </c>
      <c r="AJ19" s="135">
        <f t="shared" si="10"/>
        <v>31000</v>
      </c>
      <c r="AK19" s="135">
        <f>SUM(AD19:AJ19)</f>
        <v>196000</v>
      </c>
      <c r="AL19" s="162" t="s">
        <v>730</v>
      </c>
    </row>
    <row r="20" spans="2:38" ht="82.5" x14ac:dyDescent="0.25">
      <c r="B20" s="184" t="s">
        <v>784</v>
      </c>
      <c r="C20" s="185" t="s">
        <v>648</v>
      </c>
      <c r="D20" s="64" t="s">
        <v>736</v>
      </c>
      <c r="E20" s="185"/>
      <c r="F20" s="138"/>
      <c r="G20" s="138"/>
      <c r="H20" s="138"/>
      <c r="I20" s="185"/>
      <c r="J20" s="185"/>
      <c r="K20" s="185"/>
      <c r="L20" s="64" t="s">
        <v>927</v>
      </c>
      <c r="M20" s="130" t="s">
        <v>650</v>
      </c>
      <c r="N20" s="130"/>
      <c r="O20" s="130"/>
      <c r="P20" s="165" t="s">
        <v>205</v>
      </c>
      <c r="Q20" s="165" t="s">
        <v>205</v>
      </c>
      <c r="R20" s="165" t="s">
        <v>205</v>
      </c>
      <c r="S20" s="165" t="s">
        <v>205</v>
      </c>
      <c r="T20" s="165" t="s">
        <v>205</v>
      </c>
      <c r="U20" s="160"/>
      <c r="V20" s="160"/>
      <c r="W20" s="160"/>
      <c r="X20" s="160" t="s">
        <v>362</v>
      </c>
      <c r="Y20" s="160" t="s">
        <v>362</v>
      </c>
      <c r="Z20" s="160" t="s">
        <v>362</v>
      </c>
      <c r="AA20" s="160"/>
      <c r="AB20" s="160"/>
      <c r="AC20" s="160"/>
      <c r="AD20" s="136"/>
      <c r="AE20" s="135">
        <f>+Variables!W11</f>
        <v>150000</v>
      </c>
      <c r="AF20" s="135">
        <f>+Variables!W12</f>
        <v>200000</v>
      </c>
      <c r="AG20" s="135">
        <f>+Variables!W13</f>
        <v>100000</v>
      </c>
      <c r="AH20" s="135"/>
      <c r="AI20" s="135"/>
      <c r="AJ20" s="135"/>
      <c r="AK20" s="135">
        <f>SUM(AD20:AJ20)</f>
        <v>450000</v>
      </c>
      <c r="AL20" s="130" t="s">
        <v>401</v>
      </c>
    </row>
    <row r="21" spans="2:38" x14ac:dyDescent="0.25">
      <c r="B21" s="128" t="s">
        <v>651</v>
      </c>
      <c r="C21" s="129" t="s">
        <v>652</v>
      </c>
      <c r="D21" s="129"/>
      <c r="E21" s="129"/>
      <c r="F21" s="129"/>
      <c r="G21" s="129"/>
      <c r="H21" s="129"/>
      <c r="I21" s="129"/>
      <c r="J21" s="129"/>
      <c r="K21" s="129"/>
      <c r="L21" s="128"/>
      <c r="M21" s="129"/>
      <c r="N21" s="129"/>
      <c r="O21" s="129"/>
      <c r="P21" s="129"/>
      <c r="Q21" s="129"/>
      <c r="R21" s="129"/>
      <c r="S21" s="129"/>
      <c r="T21" s="129"/>
      <c r="U21" s="129" t="str">
        <f>IF(ISBLANK('Strategic level'!M88)," ",'Strategic level'!M88)</f>
        <v xml:space="preserve"> </v>
      </c>
      <c r="V21" s="129"/>
      <c r="W21" s="129" t="str">
        <f>IF(ISBLANK('Strategic level'!O88)," ",'Strategic level'!O88)</f>
        <v xml:space="preserve"> </v>
      </c>
      <c r="X21" s="129" t="str">
        <f>IF(ISBLANK('Strategic level'!P88)," ",'Strategic level'!P88)</f>
        <v xml:space="preserve"> </v>
      </c>
      <c r="Y21" s="129" t="str">
        <f>IF(ISBLANK('Strategic level'!Q88)," ",'Strategic level'!Q88)</f>
        <v xml:space="preserve"> </v>
      </c>
      <c r="Z21" s="129" t="str">
        <f>IF(ISBLANK('Strategic level'!R88)," ",'Strategic level'!R88)</f>
        <v xml:space="preserve"> </v>
      </c>
      <c r="AA21" s="129" t="str">
        <f>IF(ISBLANK('Strategic level'!S88)," ",'Strategic level'!S88)</f>
        <v xml:space="preserve"> </v>
      </c>
      <c r="AB21" s="129" t="str">
        <f>IF(ISBLANK('Strategic level'!T88)," ",'Strategic level'!T88)</f>
        <v xml:space="preserve"> </v>
      </c>
      <c r="AC21" s="129" t="str">
        <f>IF(ISBLANK('Strategic level'!U88)," ",'Strategic level'!U88)</f>
        <v xml:space="preserve"> </v>
      </c>
      <c r="AD21" s="261">
        <f t="shared" ref="AD21:AK21" si="11">AD22+AD27+AD30+AD34+AD38</f>
        <v>80000</v>
      </c>
      <c r="AE21" s="261">
        <f>AE22+AE27+AE30+AE34+AE38</f>
        <v>426000</v>
      </c>
      <c r="AF21" s="261">
        <f t="shared" si="11"/>
        <v>242000</v>
      </c>
      <c r="AG21" s="261">
        <f t="shared" si="11"/>
        <v>283000</v>
      </c>
      <c r="AH21" s="261">
        <f t="shared" si="11"/>
        <v>327000</v>
      </c>
      <c r="AI21" s="261">
        <f t="shared" si="11"/>
        <v>373000</v>
      </c>
      <c r="AJ21" s="261">
        <f t="shared" si="11"/>
        <v>421000</v>
      </c>
      <c r="AK21" s="261">
        <f t="shared" si="11"/>
        <v>2152000</v>
      </c>
      <c r="AL21" s="247"/>
    </row>
    <row r="22" spans="2:38" ht="148.5" x14ac:dyDescent="0.25">
      <c r="B22" s="187" t="s">
        <v>653</v>
      </c>
      <c r="C22" s="90" t="s">
        <v>654</v>
      </c>
      <c r="D22" s="115"/>
      <c r="E22" s="115"/>
      <c r="F22" s="115"/>
      <c r="G22" s="115"/>
      <c r="H22" s="115"/>
      <c r="I22" s="115"/>
      <c r="J22" s="115"/>
      <c r="K22" s="115"/>
      <c r="L22" s="190"/>
      <c r="M22" s="115" t="s">
        <v>731</v>
      </c>
      <c r="N22" s="201"/>
      <c r="O22" s="201"/>
      <c r="P22" s="140"/>
      <c r="Q22" s="140"/>
      <c r="R22" s="140"/>
      <c r="S22" s="140"/>
      <c r="T22" s="140"/>
      <c r="U22" s="159"/>
      <c r="V22" s="159"/>
      <c r="W22" s="159"/>
      <c r="X22" s="159" t="s">
        <v>362</v>
      </c>
      <c r="Y22" s="159"/>
      <c r="Z22" s="159"/>
      <c r="AA22" s="159"/>
      <c r="AB22" s="159"/>
      <c r="AC22" s="159"/>
      <c r="AD22" s="132">
        <f>AD23+AD24+AD25+AD26</f>
        <v>20000</v>
      </c>
      <c r="AE22" s="132">
        <f t="shared" ref="AE22:AK22" si="12">AE23+AE24+AE25+AE26</f>
        <v>190000</v>
      </c>
      <c r="AF22" s="132">
        <f t="shared" si="12"/>
        <v>0</v>
      </c>
      <c r="AG22" s="132">
        <f t="shared" si="12"/>
        <v>0</v>
      </c>
      <c r="AH22" s="132">
        <f t="shared" si="12"/>
        <v>0</v>
      </c>
      <c r="AI22" s="132">
        <f t="shared" si="12"/>
        <v>0</v>
      </c>
      <c r="AJ22" s="132">
        <f t="shared" si="12"/>
        <v>0</v>
      </c>
      <c r="AK22" s="132">
        <f t="shared" si="12"/>
        <v>210000</v>
      </c>
      <c r="AL22" s="161"/>
    </row>
    <row r="23" spans="2:38" ht="115.5" x14ac:dyDescent="0.25">
      <c r="B23" s="184" t="s">
        <v>655</v>
      </c>
      <c r="C23" s="185" t="s">
        <v>656</v>
      </c>
      <c r="D23" s="64" t="s">
        <v>736</v>
      </c>
      <c r="E23" s="138"/>
      <c r="F23" s="138"/>
      <c r="G23" s="185"/>
      <c r="H23" s="185"/>
      <c r="I23" s="185"/>
      <c r="J23" s="185"/>
      <c r="K23" s="185"/>
      <c r="L23" s="64" t="s">
        <v>657</v>
      </c>
      <c r="M23" s="130" t="s">
        <v>658</v>
      </c>
      <c r="N23" s="130"/>
      <c r="O23" s="130"/>
      <c r="P23" s="165" t="s">
        <v>205</v>
      </c>
      <c r="Q23" s="165" t="s">
        <v>205</v>
      </c>
      <c r="R23" s="165" t="s">
        <v>205</v>
      </c>
      <c r="S23" s="165" t="s">
        <v>205</v>
      </c>
      <c r="T23" s="165" t="s">
        <v>205</v>
      </c>
      <c r="U23" s="160"/>
      <c r="V23" s="160"/>
      <c r="W23" s="160"/>
      <c r="X23" s="160" t="s">
        <v>362</v>
      </c>
      <c r="Y23" s="160"/>
      <c r="Z23" s="160"/>
      <c r="AA23" s="160"/>
      <c r="AB23" s="160"/>
      <c r="AC23" s="160"/>
      <c r="AD23" s="135">
        <f>+Variables!W14</f>
        <v>20000</v>
      </c>
      <c r="AE23" s="135">
        <f>+Variables!W15</f>
        <v>60000</v>
      </c>
      <c r="AF23" s="136"/>
      <c r="AG23" s="136"/>
      <c r="AH23" s="136"/>
      <c r="AI23" s="136"/>
      <c r="AJ23" s="136"/>
      <c r="AK23" s="135">
        <f>SUM(AD23:AJ23)</f>
        <v>80000</v>
      </c>
      <c r="AL23" s="130" t="s">
        <v>733</v>
      </c>
    </row>
    <row r="24" spans="2:38" ht="66" x14ac:dyDescent="0.25">
      <c r="B24" s="184" t="s">
        <v>659</v>
      </c>
      <c r="C24" s="185" t="s">
        <v>660</v>
      </c>
      <c r="D24" s="64" t="s">
        <v>736</v>
      </c>
      <c r="E24" s="185"/>
      <c r="F24" s="138"/>
      <c r="G24" s="185"/>
      <c r="H24" s="185"/>
      <c r="I24" s="185"/>
      <c r="J24" s="185"/>
      <c r="K24" s="185"/>
      <c r="L24" s="64" t="s">
        <v>661</v>
      </c>
      <c r="M24" s="130" t="s">
        <v>126</v>
      </c>
      <c r="N24" s="130"/>
      <c r="O24" s="130"/>
      <c r="P24" s="165" t="s">
        <v>205</v>
      </c>
      <c r="Q24" s="165" t="s">
        <v>205</v>
      </c>
      <c r="R24" s="165" t="s">
        <v>205</v>
      </c>
      <c r="S24" s="165" t="s">
        <v>205</v>
      </c>
      <c r="T24" s="165" t="s">
        <v>205</v>
      </c>
      <c r="U24" s="160"/>
      <c r="V24" s="160"/>
      <c r="W24" s="160"/>
      <c r="X24" s="160" t="s">
        <v>362</v>
      </c>
      <c r="Y24" s="160"/>
      <c r="Z24" s="160"/>
      <c r="AA24" s="160"/>
      <c r="AB24" s="160"/>
      <c r="AC24" s="160"/>
      <c r="AD24" s="136"/>
      <c r="AE24" s="135">
        <f>+Variables!W16</f>
        <v>100000</v>
      </c>
      <c r="AF24" s="136"/>
      <c r="AG24" s="136"/>
      <c r="AH24" s="136"/>
      <c r="AI24" s="136"/>
      <c r="AJ24" s="136"/>
      <c r="AK24" s="135">
        <f>SUM(AD24:AJ24)</f>
        <v>100000</v>
      </c>
      <c r="AL24" s="260" t="s">
        <v>732</v>
      </c>
    </row>
    <row r="25" spans="2:38" ht="82.5" x14ac:dyDescent="0.25">
      <c r="B25" s="184" t="s">
        <v>662</v>
      </c>
      <c r="C25" s="198" t="s">
        <v>663</v>
      </c>
      <c r="D25" s="64" t="s">
        <v>1035</v>
      </c>
      <c r="E25" s="185"/>
      <c r="F25" s="138"/>
      <c r="G25" s="185"/>
      <c r="H25" s="185"/>
      <c r="I25" s="185"/>
      <c r="J25" s="185"/>
      <c r="K25" s="185"/>
      <c r="L25" s="64" t="s">
        <v>664</v>
      </c>
      <c r="M25" s="130" t="s">
        <v>665</v>
      </c>
      <c r="N25" s="130"/>
      <c r="O25" s="130"/>
      <c r="P25" s="165" t="s">
        <v>205</v>
      </c>
      <c r="Q25" s="165" t="s">
        <v>205</v>
      </c>
      <c r="R25" s="165" t="s">
        <v>205</v>
      </c>
      <c r="S25" s="165" t="s">
        <v>205</v>
      </c>
      <c r="T25" s="165" t="s">
        <v>205</v>
      </c>
      <c r="U25" s="160"/>
      <c r="V25" s="160"/>
      <c r="W25" s="160"/>
      <c r="X25" s="160" t="s">
        <v>362</v>
      </c>
      <c r="Y25" s="160"/>
      <c r="Z25" s="160"/>
      <c r="AA25" s="160"/>
      <c r="AB25" s="160"/>
      <c r="AC25" s="160"/>
      <c r="AD25" s="136"/>
      <c r="AE25" s="135">
        <f>+Variables!W17</f>
        <v>15000</v>
      </c>
      <c r="AF25" s="136"/>
      <c r="AG25" s="136"/>
      <c r="AH25" s="136"/>
      <c r="AI25" s="136"/>
      <c r="AJ25" s="136"/>
      <c r="AK25" s="135">
        <f>SUM(AD25:AJ25)</f>
        <v>15000</v>
      </c>
      <c r="AL25" s="130" t="s">
        <v>401</v>
      </c>
    </row>
    <row r="26" spans="2:38" ht="82.5" x14ac:dyDescent="0.25">
      <c r="B26" s="184" t="s">
        <v>666</v>
      </c>
      <c r="C26" s="198" t="s">
        <v>667</v>
      </c>
      <c r="D26" s="197" t="s">
        <v>1035</v>
      </c>
      <c r="E26" s="185"/>
      <c r="F26" s="138"/>
      <c r="G26" s="185"/>
      <c r="H26" s="185"/>
      <c r="I26" s="185"/>
      <c r="J26" s="185"/>
      <c r="K26" s="185"/>
      <c r="L26" s="64" t="s">
        <v>668</v>
      </c>
      <c r="M26" s="130" t="s">
        <v>669</v>
      </c>
      <c r="N26" s="130"/>
      <c r="O26" s="130"/>
      <c r="P26" s="165" t="s">
        <v>205</v>
      </c>
      <c r="Q26" s="165" t="s">
        <v>205</v>
      </c>
      <c r="R26" s="165" t="s">
        <v>205</v>
      </c>
      <c r="S26" s="165" t="s">
        <v>205</v>
      </c>
      <c r="T26" s="165" t="s">
        <v>205</v>
      </c>
      <c r="U26" s="160"/>
      <c r="V26" s="160"/>
      <c r="W26" s="160"/>
      <c r="X26" s="160" t="s">
        <v>362</v>
      </c>
      <c r="Y26" s="160"/>
      <c r="Z26" s="160"/>
      <c r="AA26" s="160"/>
      <c r="AB26" s="160"/>
      <c r="AC26" s="160"/>
      <c r="AD26" s="136"/>
      <c r="AE26" s="135">
        <f>+Variables!W18</f>
        <v>15000</v>
      </c>
      <c r="AF26" s="136"/>
      <c r="AG26" s="136"/>
      <c r="AH26" s="136"/>
      <c r="AI26" s="136"/>
      <c r="AJ26" s="136"/>
      <c r="AK26" s="135">
        <f t="shared" ref="AK26" si="13">SUM(AD26:AJ26)</f>
        <v>15000</v>
      </c>
      <c r="AL26" s="130" t="s">
        <v>401</v>
      </c>
    </row>
    <row r="27" spans="2:38" ht="132" x14ac:dyDescent="0.25">
      <c r="B27" s="187" t="s">
        <v>670</v>
      </c>
      <c r="C27" s="188" t="s">
        <v>671</v>
      </c>
      <c r="D27" s="201"/>
      <c r="E27" s="201"/>
      <c r="F27" s="201"/>
      <c r="G27" s="201"/>
      <c r="H27" s="201"/>
      <c r="I27" s="201"/>
      <c r="J27" s="201"/>
      <c r="K27" s="201"/>
      <c r="L27" s="190" t="s">
        <v>672</v>
      </c>
      <c r="M27" s="90" t="s">
        <v>215</v>
      </c>
      <c r="N27" s="201" t="s">
        <v>185</v>
      </c>
      <c r="O27" s="90"/>
      <c r="P27" s="127">
        <f>'Strategic level'!H10</f>
        <v>0.22618830814059371</v>
      </c>
      <c r="Q27" s="127">
        <f>'Strategic level'!I10</f>
        <v>0.20794148380355276</v>
      </c>
      <c r="R27" s="127">
        <f>'Strategic level'!J10</f>
        <v>0.20113636363636364</v>
      </c>
      <c r="S27" s="127">
        <f>'Strategic level'!K10</f>
        <v>0.17107449149117687</v>
      </c>
      <c r="T27" s="127">
        <f>'Strategic level'!L10</f>
        <v>0.15199269468682061</v>
      </c>
      <c r="U27" s="127">
        <f>'Strategic level'!M10</f>
        <v>0.15140708537665648</v>
      </c>
      <c r="V27" s="127">
        <f>+(U27+W27)/2</f>
        <v>0.14635943329481643</v>
      </c>
      <c r="W27" s="127">
        <f>'Strategic level'!O10</f>
        <v>0.14131178121297638</v>
      </c>
      <c r="X27" s="127">
        <f>'Strategic level'!P10</f>
        <v>0.13179212915812605</v>
      </c>
      <c r="Y27" s="127">
        <f>'Strategic level'!Q10</f>
        <v>0.12049440935373697</v>
      </c>
      <c r="Z27" s="127">
        <f>'Strategic level'!R10</f>
        <v>0.10669289752858431</v>
      </c>
      <c r="AA27" s="127">
        <f>'Strategic level'!S10</f>
        <v>9.5289344943307056E-2</v>
      </c>
      <c r="AB27" s="127">
        <f>'Strategic level'!T10</f>
        <v>8.3891090801495927E-2</v>
      </c>
      <c r="AC27" s="127">
        <f>'Strategic level'!U10</f>
        <v>7.2507646574369922E-2</v>
      </c>
      <c r="AD27" s="132">
        <f>AD28+AD29</f>
        <v>0</v>
      </c>
      <c r="AE27" s="132">
        <f t="shared" ref="AE27:AK27" si="14">AE28+AE29</f>
        <v>0</v>
      </c>
      <c r="AF27" s="132">
        <f t="shared" si="14"/>
        <v>0</v>
      </c>
      <c r="AG27" s="132">
        <f t="shared" si="14"/>
        <v>0</v>
      </c>
      <c r="AH27" s="132">
        <f t="shared" si="14"/>
        <v>0</v>
      </c>
      <c r="AI27" s="132">
        <f t="shared" si="14"/>
        <v>0</v>
      </c>
      <c r="AJ27" s="132">
        <f t="shared" si="14"/>
        <v>0</v>
      </c>
      <c r="AK27" s="132">
        <f t="shared" si="14"/>
        <v>0</v>
      </c>
      <c r="AL27" s="161"/>
    </row>
    <row r="28" spans="2:38" ht="211.5" customHeight="1" x14ac:dyDescent="0.25">
      <c r="B28" s="184" t="s">
        <v>673</v>
      </c>
      <c r="C28" s="198" t="s">
        <v>1190</v>
      </c>
      <c r="D28" s="64" t="s">
        <v>1036</v>
      </c>
      <c r="E28" s="138"/>
      <c r="F28" s="138"/>
      <c r="G28" s="138"/>
      <c r="H28" s="138"/>
      <c r="I28" s="138"/>
      <c r="J28" s="138"/>
      <c r="K28" s="138"/>
      <c r="L28" s="64" t="s">
        <v>674</v>
      </c>
      <c r="M28" s="130" t="s">
        <v>675</v>
      </c>
      <c r="N28" s="130"/>
      <c r="O28" s="130"/>
      <c r="P28" s="165" t="s">
        <v>203</v>
      </c>
      <c r="Q28" s="165" t="s">
        <v>203</v>
      </c>
      <c r="R28" s="165" t="s">
        <v>203</v>
      </c>
      <c r="S28" s="165" t="s">
        <v>203</v>
      </c>
      <c r="T28" s="165" t="s">
        <v>203</v>
      </c>
      <c r="U28" s="160"/>
      <c r="V28" s="160"/>
      <c r="W28" s="160" t="s">
        <v>362</v>
      </c>
      <c r="X28" s="160" t="s">
        <v>362</v>
      </c>
      <c r="Y28" s="160" t="s">
        <v>362</v>
      </c>
      <c r="Z28" s="160" t="s">
        <v>362</v>
      </c>
      <c r="AA28" s="160" t="s">
        <v>362</v>
      </c>
      <c r="AB28" s="160" t="s">
        <v>362</v>
      </c>
      <c r="AC28" s="160" t="s">
        <v>362</v>
      </c>
      <c r="AD28" s="136"/>
      <c r="AE28" s="136"/>
      <c r="AF28" s="136"/>
      <c r="AG28" s="136"/>
      <c r="AH28" s="136"/>
      <c r="AI28" s="136"/>
      <c r="AJ28" s="136"/>
      <c r="AK28" s="136">
        <f t="shared" ref="AK28:AK29" si="15">SUM(AD28:AJ28)</f>
        <v>0</v>
      </c>
      <c r="AL28" s="260" t="s">
        <v>390</v>
      </c>
    </row>
    <row r="29" spans="2:38" ht="49.5" x14ac:dyDescent="0.25">
      <c r="B29" s="184" t="s">
        <v>676</v>
      </c>
      <c r="C29" s="185" t="s">
        <v>677</v>
      </c>
      <c r="D29" s="64" t="s">
        <v>736</v>
      </c>
      <c r="E29" s="138"/>
      <c r="F29" s="138"/>
      <c r="G29" s="138"/>
      <c r="H29" s="138"/>
      <c r="I29" s="138"/>
      <c r="J29" s="138"/>
      <c r="K29" s="138"/>
      <c r="L29" s="64" t="s">
        <v>678</v>
      </c>
      <c r="M29" s="130" t="s">
        <v>679</v>
      </c>
      <c r="N29" s="130"/>
      <c r="O29" s="130"/>
      <c r="P29" s="165" t="s">
        <v>205</v>
      </c>
      <c r="Q29" s="165" t="s">
        <v>205</v>
      </c>
      <c r="R29" s="165" t="s">
        <v>205</v>
      </c>
      <c r="S29" s="165" t="s">
        <v>205</v>
      </c>
      <c r="T29" s="165" t="s">
        <v>205</v>
      </c>
      <c r="U29" s="160"/>
      <c r="V29" s="160"/>
      <c r="W29" s="160" t="s">
        <v>362</v>
      </c>
      <c r="X29" s="160" t="s">
        <v>362</v>
      </c>
      <c r="Y29" s="160" t="s">
        <v>362</v>
      </c>
      <c r="Z29" s="160" t="s">
        <v>362</v>
      </c>
      <c r="AA29" s="160" t="s">
        <v>362</v>
      </c>
      <c r="AB29" s="160" t="s">
        <v>362</v>
      </c>
      <c r="AC29" s="160" t="s">
        <v>362</v>
      </c>
      <c r="AD29" s="136"/>
      <c r="AE29" s="136"/>
      <c r="AF29" s="136"/>
      <c r="AG29" s="136"/>
      <c r="AH29" s="136"/>
      <c r="AI29" s="136"/>
      <c r="AJ29" s="136"/>
      <c r="AK29" s="136">
        <f t="shared" si="15"/>
        <v>0</v>
      </c>
      <c r="AL29" s="260" t="s">
        <v>390</v>
      </c>
    </row>
    <row r="30" spans="2:38" ht="82.5" x14ac:dyDescent="0.25">
      <c r="B30" s="187" t="s">
        <v>680</v>
      </c>
      <c r="C30" s="188" t="s">
        <v>1191</v>
      </c>
      <c r="D30" s="201"/>
      <c r="E30" s="201"/>
      <c r="F30" s="201"/>
      <c r="G30" s="201"/>
      <c r="H30" s="201"/>
      <c r="I30" s="201"/>
      <c r="J30" s="201"/>
      <c r="K30" s="201"/>
      <c r="L30" s="451" t="s">
        <v>681</v>
      </c>
      <c r="M30" s="404" t="s">
        <v>682</v>
      </c>
      <c r="N30" s="404"/>
      <c r="O30" s="404"/>
      <c r="P30" s="468" t="s">
        <v>205</v>
      </c>
      <c r="Q30" s="468" t="s">
        <v>205</v>
      </c>
      <c r="R30" s="468" t="s">
        <v>205</v>
      </c>
      <c r="S30" s="468" t="s">
        <v>205</v>
      </c>
      <c r="T30" s="468" t="s">
        <v>205</v>
      </c>
      <c r="U30" s="466"/>
      <c r="V30" s="199"/>
      <c r="W30" s="466"/>
      <c r="X30" s="460" t="s">
        <v>734</v>
      </c>
      <c r="Y30" s="461"/>
      <c r="Z30" s="461"/>
      <c r="AA30" s="461"/>
      <c r="AB30" s="461"/>
      <c r="AC30" s="462"/>
      <c r="AD30" s="132">
        <f t="shared" ref="AD30:AK30" si="16">AD31+AD32+AD33</f>
        <v>20000</v>
      </c>
      <c r="AE30" s="132">
        <f>AE31+AE32</f>
        <v>190000</v>
      </c>
      <c r="AF30" s="132">
        <f t="shared" si="16"/>
        <v>100000</v>
      </c>
      <c r="AG30" s="132">
        <f t="shared" si="16"/>
        <v>104000</v>
      </c>
      <c r="AH30" s="132">
        <f t="shared" si="16"/>
        <v>108000</v>
      </c>
      <c r="AI30" s="132">
        <f t="shared" si="16"/>
        <v>112000</v>
      </c>
      <c r="AJ30" s="132">
        <f t="shared" si="16"/>
        <v>116000</v>
      </c>
      <c r="AK30" s="132">
        <f t="shared" si="16"/>
        <v>750000</v>
      </c>
      <c r="AL30" s="161"/>
    </row>
    <row r="31" spans="2:38" ht="409.5" x14ac:dyDescent="0.25">
      <c r="B31" s="184" t="s">
        <v>683</v>
      </c>
      <c r="C31" s="185" t="s">
        <v>684</v>
      </c>
      <c r="D31" s="64" t="s">
        <v>736</v>
      </c>
      <c r="E31" s="138"/>
      <c r="F31" s="138"/>
      <c r="G31" s="138"/>
      <c r="H31" s="138"/>
      <c r="I31" s="138"/>
      <c r="J31" s="138"/>
      <c r="K31" s="138"/>
      <c r="L31" s="451"/>
      <c r="M31" s="404"/>
      <c r="N31" s="404"/>
      <c r="O31" s="404"/>
      <c r="P31" s="468"/>
      <c r="Q31" s="468"/>
      <c r="R31" s="468"/>
      <c r="S31" s="468"/>
      <c r="T31" s="468"/>
      <c r="U31" s="467"/>
      <c r="V31" s="200"/>
      <c r="W31" s="467"/>
      <c r="X31" s="463"/>
      <c r="Y31" s="464"/>
      <c r="Z31" s="464"/>
      <c r="AA31" s="464"/>
      <c r="AB31" s="464"/>
      <c r="AC31" s="465"/>
      <c r="AD31" s="135">
        <f>+Variables!W19</f>
        <v>20000</v>
      </c>
      <c r="AE31" s="135">
        <f>+Variables!W20</f>
        <v>80000</v>
      </c>
      <c r="AF31" s="135">
        <f>+Variables!W21</f>
        <v>100000</v>
      </c>
      <c r="AG31" s="135">
        <f>ROUND(AF31*1.04,-3)</f>
        <v>104000</v>
      </c>
      <c r="AH31" s="135">
        <f t="shared" ref="AH31:AJ31" si="17">ROUND(AG31*1.04,-3)</f>
        <v>108000</v>
      </c>
      <c r="AI31" s="135">
        <f t="shared" si="17"/>
        <v>112000</v>
      </c>
      <c r="AJ31" s="135">
        <f t="shared" si="17"/>
        <v>116000</v>
      </c>
      <c r="AK31" s="135">
        <f t="shared" ref="AK31" si="18">SUM(AD31:AJ31)</f>
        <v>640000</v>
      </c>
      <c r="AL31" s="162" t="s">
        <v>912</v>
      </c>
    </row>
    <row r="32" spans="2:38" ht="231" customHeight="1" x14ac:dyDescent="0.25">
      <c r="B32" s="436" t="s">
        <v>685</v>
      </c>
      <c r="C32" s="439" t="s">
        <v>1047</v>
      </c>
      <c r="D32" s="303" t="s">
        <v>736</v>
      </c>
      <c r="E32" s="303"/>
      <c r="F32" s="306"/>
      <c r="G32" s="303"/>
      <c r="H32" s="303"/>
      <c r="I32" s="303"/>
      <c r="J32" s="303"/>
      <c r="K32" s="303"/>
      <c r="L32" s="303" t="s">
        <v>1054</v>
      </c>
      <c r="M32" s="439" t="s">
        <v>1192</v>
      </c>
      <c r="N32" s="312"/>
      <c r="O32" s="312"/>
      <c r="P32" s="458" t="s">
        <v>203</v>
      </c>
      <c r="Q32" s="458" t="s">
        <v>203</v>
      </c>
      <c r="R32" s="458" t="s">
        <v>203</v>
      </c>
      <c r="S32" s="458" t="s">
        <v>203</v>
      </c>
      <c r="T32" s="458" t="s">
        <v>203</v>
      </c>
      <c r="U32" s="456"/>
      <c r="V32" s="456"/>
      <c r="W32" s="456"/>
      <c r="X32" s="456" t="s">
        <v>362</v>
      </c>
      <c r="Y32" s="456"/>
      <c r="Z32" s="456"/>
      <c r="AA32" s="456"/>
      <c r="AB32" s="456"/>
      <c r="AC32" s="456"/>
      <c r="AD32" s="442"/>
      <c r="AE32" s="297">
        <f>+Variables!W22+60000</f>
        <v>110000</v>
      </c>
      <c r="AF32" s="442"/>
      <c r="AG32" s="442"/>
      <c r="AH32" s="442"/>
      <c r="AI32" s="442"/>
      <c r="AJ32" s="442"/>
      <c r="AK32" s="297">
        <f>SUM(AD32:AJ33)</f>
        <v>110000</v>
      </c>
      <c r="AL32" s="312" t="s">
        <v>1055</v>
      </c>
    </row>
    <row r="33" spans="2:46" ht="142.5" customHeight="1" x14ac:dyDescent="0.25">
      <c r="B33" s="438"/>
      <c r="C33" s="441"/>
      <c r="D33" s="305"/>
      <c r="E33" s="305"/>
      <c r="F33" s="308"/>
      <c r="G33" s="305"/>
      <c r="H33" s="305"/>
      <c r="I33" s="305"/>
      <c r="J33" s="305"/>
      <c r="K33" s="305"/>
      <c r="L33" s="305"/>
      <c r="M33" s="441"/>
      <c r="N33" s="314"/>
      <c r="O33" s="314"/>
      <c r="P33" s="459"/>
      <c r="Q33" s="459"/>
      <c r="R33" s="459"/>
      <c r="S33" s="459"/>
      <c r="T33" s="459"/>
      <c r="U33" s="457"/>
      <c r="V33" s="457"/>
      <c r="W33" s="457"/>
      <c r="X33" s="457"/>
      <c r="Y33" s="457"/>
      <c r="Z33" s="457"/>
      <c r="AA33" s="457"/>
      <c r="AB33" s="457"/>
      <c r="AC33" s="457"/>
      <c r="AD33" s="443"/>
      <c r="AE33" s="299"/>
      <c r="AF33" s="443"/>
      <c r="AG33" s="443"/>
      <c r="AH33" s="443"/>
      <c r="AI33" s="443"/>
      <c r="AJ33" s="443"/>
      <c r="AK33" s="299"/>
      <c r="AL33" s="314"/>
    </row>
    <row r="34" spans="2:46" ht="33" x14ac:dyDescent="0.25">
      <c r="B34" s="187" t="s">
        <v>686</v>
      </c>
      <c r="C34" s="188" t="s">
        <v>687</v>
      </c>
      <c r="D34" s="201"/>
      <c r="E34" s="201"/>
      <c r="F34" s="201"/>
      <c r="G34" s="201"/>
      <c r="H34" s="201"/>
      <c r="I34" s="201"/>
      <c r="J34" s="201"/>
      <c r="K34" s="201"/>
      <c r="L34" s="190" t="s">
        <v>688</v>
      </c>
      <c r="M34" s="201"/>
      <c r="N34" s="201"/>
      <c r="O34" s="201"/>
      <c r="P34" s="140"/>
      <c r="Q34" s="140"/>
      <c r="R34" s="140"/>
      <c r="S34" s="140"/>
      <c r="T34" s="140"/>
      <c r="U34" s="159"/>
      <c r="V34" s="159"/>
      <c r="W34" s="159"/>
      <c r="X34" s="159"/>
      <c r="Y34" s="159"/>
      <c r="Z34" s="159"/>
      <c r="AA34" s="159"/>
      <c r="AB34" s="159"/>
      <c r="AC34" s="159"/>
      <c r="AD34" s="132">
        <f t="shared" ref="AD34:AJ34" si="19">AD35+AD36+AD37</f>
        <v>20000</v>
      </c>
      <c r="AE34" s="132">
        <f t="shared" si="19"/>
        <v>25000</v>
      </c>
      <c r="AF34" s="132">
        <f t="shared" si="19"/>
        <v>120000</v>
      </c>
      <c r="AG34" s="132">
        <f t="shared" si="19"/>
        <v>156000</v>
      </c>
      <c r="AH34" s="132">
        <f t="shared" si="19"/>
        <v>195000</v>
      </c>
      <c r="AI34" s="132">
        <f t="shared" si="19"/>
        <v>236000</v>
      </c>
      <c r="AJ34" s="132">
        <f t="shared" si="19"/>
        <v>279000</v>
      </c>
      <c r="AK34" s="132">
        <f t="shared" ref="AK34" si="20">AK35+AK36+AK37</f>
        <v>1031000</v>
      </c>
      <c r="AL34" s="161"/>
    </row>
    <row r="35" spans="2:46" ht="191.25" customHeight="1" x14ac:dyDescent="0.25">
      <c r="B35" s="184" t="s">
        <v>689</v>
      </c>
      <c r="C35" s="198" t="s">
        <v>690</v>
      </c>
      <c r="D35" s="197" t="s">
        <v>1034</v>
      </c>
      <c r="E35" s="198"/>
      <c r="F35" s="138"/>
      <c r="G35" s="138"/>
      <c r="H35" s="198"/>
      <c r="I35" s="198"/>
      <c r="J35" s="198"/>
      <c r="K35" s="198"/>
      <c r="L35" s="197" t="s">
        <v>691</v>
      </c>
      <c r="M35" s="198" t="s">
        <v>1193</v>
      </c>
      <c r="N35" s="198"/>
      <c r="O35" s="130"/>
      <c r="P35" s="165" t="s">
        <v>205</v>
      </c>
      <c r="Q35" s="165" t="s">
        <v>205</v>
      </c>
      <c r="R35" s="165" t="s">
        <v>205</v>
      </c>
      <c r="S35" s="165" t="s">
        <v>205</v>
      </c>
      <c r="T35" s="165" t="s">
        <v>205</v>
      </c>
      <c r="U35" s="160"/>
      <c r="V35" s="160"/>
      <c r="W35" s="160"/>
      <c r="X35" s="160"/>
      <c r="Y35" s="160" t="s">
        <v>362</v>
      </c>
      <c r="Z35" s="160"/>
      <c r="AA35" s="160"/>
      <c r="AB35" s="160"/>
      <c r="AC35" s="160"/>
      <c r="AD35" s="135">
        <f>+Variables!W23</f>
        <v>20000</v>
      </c>
      <c r="AE35" s="135">
        <f>+Variables!W24</f>
        <v>25000</v>
      </c>
      <c r="AF35" s="135"/>
      <c r="AG35" s="136"/>
      <c r="AH35" s="136"/>
      <c r="AI35" s="136"/>
      <c r="AJ35" s="136"/>
      <c r="AK35" s="135">
        <f t="shared" ref="AK35:AK36" si="21">SUM(AD35:AJ35)</f>
        <v>45000</v>
      </c>
      <c r="AL35" s="162" t="s">
        <v>401</v>
      </c>
    </row>
    <row r="36" spans="2:46" ht="99" x14ac:dyDescent="0.25">
      <c r="B36" s="184" t="s">
        <v>692</v>
      </c>
      <c r="C36" s="198" t="s">
        <v>693</v>
      </c>
      <c r="D36" s="197" t="s">
        <v>1034</v>
      </c>
      <c r="E36" s="198"/>
      <c r="F36" s="198"/>
      <c r="G36" s="138"/>
      <c r="H36" s="198"/>
      <c r="I36" s="198"/>
      <c r="J36" s="198"/>
      <c r="K36" s="198"/>
      <c r="L36" s="197" t="s">
        <v>694</v>
      </c>
      <c r="M36" s="198" t="s">
        <v>695</v>
      </c>
      <c r="N36" s="198"/>
      <c r="O36" s="130"/>
      <c r="P36" s="165" t="s">
        <v>205</v>
      </c>
      <c r="Q36" s="165" t="s">
        <v>205</v>
      </c>
      <c r="R36" s="165" t="s">
        <v>205</v>
      </c>
      <c r="S36" s="165" t="s">
        <v>205</v>
      </c>
      <c r="T36" s="165" t="s">
        <v>205</v>
      </c>
      <c r="U36" s="160"/>
      <c r="V36" s="160"/>
      <c r="W36" s="160"/>
      <c r="X36" s="160"/>
      <c r="Y36" s="160" t="s">
        <v>362</v>
      </c>
      <c r="Z36" s="160"/>
      <c r="AA36" s="160"/>
      <c r="AB36" s="160"/>
      <c r="AC36" s="160"/>
      <c r="AD36" s="136"/>
      <c r="AE36" s="136"/>
      <c r="AF36" s="136"/>
      <c r="AG36" s="136"/>
      <c r="AH36" s="136"/>
      <c r="AI36" s="136"/>
      <c r="AJ36" s="136"/>
      <c r="AK36" s="136">
        <f t="shared" si="21"/>
        <v>0</v>
      </c>
      <c r="AL36" s="260" t="s">
        <v>390</v>
      </c>
    </row>
    <row r="37" spans="2:46" ht="280.5" x14ac:dyDescent="0.25">
      <c r="B37" s="184" t="s">
        <v>696</v>
      </c>
      <c r="C37" s="198" t="s">
        <v>1043</v>
      </c>
      <c r="D37" s="197" t="s">
        <v>736</v>
      </c>
      <c r="E37" s="198"/>
      <c r="F37" s="138"/>
      <c r="G37" s="138"/>
      <c r="H37" s="138"/>
      <c r="I37" s="138"/>
      <c r="J37" s="138"/>
      <c r="K37" s="138"/>
      <c r="L37" s="197" t="s">
        <v>697</v>
      </c>
      <c r="M37" s="198" t="s">
        <v>1057</v>
      </c>
      <c r="N37" s="198"/>
      <c r="O37" s="130"/>
      <c r="P37" s="165" t="s">
        <v>205</v>
      </c>
      <c r="Q37" s="165" t="s">
        <v>205</v>
      </c>
      <c r="R37" s="165" t="s">
        <v>205</v>
      </c>
      <c r="S37" s="165" t="s">
        <v>205</v>
      </c>
      <c r="T37" s="165" t="s">
        <v>205</v>
      </c>
      <c r="U37" s="160"/>
      <c r="V37" s="160"/>
      <c r="W37" s="160"/>
      <c r="X37" s="160" t="s">
        <v>362</v>
      </c>
      <c r="Y37" s="160" t="s">
        <v>362</v>
      </c>
      <c r="Z37" s="160" t="s">
        <v>362</v>
      </c>
      <c r="AA37" s="160" t="s">
        <v>362</v>
      </c>
      <c r="AB37" s="160" t="s">
        <v>362</v>
      </c>
      <c r="AC37" s="160" t="s">
        <v>362</v>
      </c>
      <c r="AD37" s="136"/>
      <c r="AE37" s="135">
        <v>0</v>
      </c>
      <c r="AF37" s="135">
        <f>+Variables!W25</f>
        <v>120000</v>
      </c>
      <c r="AG37" s="135">
        <f>ROUND(AF37*'Strategic level'!P5/'Strategic level'!O5+33134,-3)</f>
        <v>156000</v>
      </c>
      <c r="AH37" s="135">
        <f>ROUND(AG37*'Strategic level'!Q5/'Strategic level'!P5+34211,-3)</f>
        <v>195000</v>
      </c>
      <c r="AI37" s="135">
        <f>ROUND(AH37*'Strategic level'!R5/'Strategic level'!Q5+35289,-3)</f>
        <v>236000</v>
      </c>
      <c r="AJ37" s="135">
        <f>ROUND(AI37*'Strategic level'!S5/'Strategic level'!R5+36366,-3)</f>
        <v>279000</v>
      </c>
      <c r="AK37" s="135">
        <f>SUM(AD37:AJ37)</f>
        <v>986000</v>
      </c>
      <c r="AL37" s="260" t="s">
        <v>1194</v>
      </c>
      <c r="AP37" s="170">
        <f>ROUND(AJ37*1.04,-3)</f>
        <v>290000</v>
      </c>
      <c r="AQ37" s="170">
        <f>ROUND(AP37*1.04,-3)</f>
        <v>302000</v>
      </c>
      <c r="AR37" s="170">
        <f t="shared" ref="AR37:AT37" si="22">ROUND(AQ37*1.04,-3)</f>
        <v>314000</v>
      </c>
      <c r="AS37" s="170">
        <f t="shared" si="22"/>
        <v>327000</v>
      </c>
      <c r="AT37" s="170">
        <f t="shared" si="22"/>
        <v>340000</v>
      </c>
    </row>
    <row r="38" spans="2:46" ht="66" x14ac:dyDescent="0.25">
      <c r="B38" s="187" t="s">
        <v>698</v>
      </c>
      <c r="C38" s="188" t="s">
        <v>699</v>
      </c>
      <c r="D38" s="201"/>
      <c r="E38" s="201"/>
      <c r="F38" s="201"/>
      <c r="G38" s="201"/>
      <c r="H38" s="201"/>
      <c r="I38" s="201"/>
      <c r="J38" s="201"/>
      <c r="K38" s="201"/>
      <c r="L38" s="190" t="s">
        <v>700</v>
      </c>
      <c r="M38" s="201" t="s">
        <v>735</v>
      </c>
      <c r="N38" s="201"/>
      <c r="O38" s="201"/>
      <c r="P38" s="140" t="s">
        <v>203</v>
      </c>
      <c r="Q38" s="140" t="s">
        <v>203</v>
      </c>
      <c r="R38" s="140" t="s">
        <v>203</v>
      </c>
      <c r="S38" s="140" t="s">
        <v>203</v>
      </c>
      <c r="T38" s="140" t="s">
        <v>203</v>
      </c>
      <c r="U38" s="159"/>
      <c r="V38" s="159"/>
      <c r="W38" s="137">
        <f>'Strategic level'!W4/'Strategic level'!$AD$4</f>
        <v>4.3964874017103829E-4</v>
      </c>
      <c r="X38" s="137">
        <f>'Strategic level'!X4/'Strategic level'!$AD$4</f>
        <v>4.7353498249440393E-2</v>
      </c>
      <c r="Y38" s="137">
        <f>'Strategic level'!Y4/'Strategic level'!$AD$4</f>
        <v>8.3999311255237324E-2</v>
      </c>
      <c r="Z38" s="137">
        <f>'Strategic level'!Z4/'Strategic level'!$AD$4</f>
        <v>0.12075991505481261</v>
      </c>
      <c r="AA38" s="137">
        <f>'Strategic level'!AA4/'Strategic level'!$AD$4</f>
        <v>0.1825024393043678</v>
      </c>
      <c r="AB38" s="137">
        <f>'Strategic level'!AB4/'Strategic level'!$AD$4</f>
        <v>0.24206853010388568</v>
      </c>
      <c r="AC38" s="137">
        <f>'Strategic level'!AC4/'Strategic level'!$AD$4</f>
        <v>0.3228766572920852</v>
      </c>
      <c r="AD38" s="132">
        <f>AD39+AD40</f>
        <v>20000</v>
      </c>
      <c r="AE38" s="132">
        <f t="shared" ref="AE38:AK38" si="23">AE39+AE40</f>
        <v>21000</v>
      </c>
      <c r="AF38" s="132">
        <f t="shared" si="23"/>
        <v>22000</v>
      </c>
      <c r="AG38" s="132">
        <f t="shared" si="23"/>
        <v>23000</v>
      </c>
      <c r="AH38" s="132">
        <f t="shared" si="23"/>
        <v>24000</v>
      </c>
      <c r="AI38" s="132">
        <f t="shared" si="23"/>
        <v>25000</v>
      </c>
      <c r="AJ38" s="132">
        <f t="shared" si="23"/>
        <v>26000</v>
      </c>
      <c r="AK38" s="132">
        <f t="shared" si="23"/>
        <v>161000</v>
      </c>
      <c r="AL38" s="161"/>
    </row>
    <row r="39" spans="2:46" ht="82.5" x14ac:dyDescent="0.25">
      <c r="B39" s="184" t="s">
        <v>701</v>
      </c>
      <c r="C39" s="185" t="s">
        <v>702</v>
      </c>
      <c r="D39" s="197" t="s">
        <v>1036</v>
      </c>
      <c r="E39" s="138"/>
      <c r="F39" s="138"/>
      <c r="G39" s="138"/>
      <c r="H39" s="138"/>
      <c r="I39" s="138"/>
      <c r="J39" s="138"/>
      <c r="K39" s="138"/>
      <c r="L39" s="64" t="s">
        <v>703</v>
      </c>
      <c r="M39" s="130" t="s">
        <v>704</v>
      </c>
      <c r="N39" s="130"/>
      <c r="O39" s="130"/>
      <c r="P39" s="165" t="s">
        <v>205</v>
      </c>
      <c r="Q39" s="165" t="s">
        <v>205</v>
      </c>
      <c r="R39" s="165" t="s">
        <v>205</v>
      </c>
      <c r="S39" s="165" t="s">
        <v>205</v>
      </c>
      <c r="T39" s="165" t="s">
        <v>205</v>
      </c>
      <c r="U39" s="160"/>
      <c r="V39" s="160"/>
      <c r="W39" s="160" t="s">
        <v>362</v>
      </c>
      <c r="X39" s="160" t="s">
        <v>362</v>
      </c>
      <c r="Y39" s="160" t="s">
        <v>362</v>
      </c>
      <c r="Z39" s="160" t="s">
        <v>362</v>
      </c>
      <c r="AA39" s="160" t="s">
        <v>362</v>
      </c>
      <c r="AB39" s="160" t="s">
        <v>362</v>
      </c>
      <c r="AC39" s="160" t="s">
        <v>362</v>
      </c>
      <c r="AD39" s="135">
        <f>+Variables!W26</f>
        <v>20000</v>
      </c>
      <c r="AE39" s="135">
        <f>ROUND(AD39*1.04,-3)</f>
        <v>21000</v>
      </c>
      <c r="AF39" s="135">
        <f>ROUND(AE39*1.04,-3)</f>
        <v>22000</v>
      </c>
      <c r="AG39" s="135">
        <f t="shared" ref="AG39:AJ39" si="24">ROUND(AF39*1.04,-3)</f>
        <v>23000</v>
      </c>
      <c r="AH39" s="135">
        <f t="shared" si="24"/>
        <v>24000</v>
      </c>
      <c r="AI39" s="135">
        <f t="shared" si="24"/>
        <v>25000</v>
      </c>
      <c r="AJ39" s="135">
        <f t="shared" si="24"/>
        <v>26000</v>
      </c>
      <c r="AK39" s="135">
        <f t="shared" ref="AK39:AK40" si="25">SUM(AD39:AJ39)</f>
        <v>161000</v>
      </c>
      <c r="AL39" s="162" t="s">
        <v>401</v>
      </c>
    </row>
    <row r="40" spans="2:46" ht="66" x14ac:dyDescent="0.25">
      <c r="B40" s="176" t="s">
        <v>705</v>
      </c>
      <c r="C40" s="198" t="s">
        <v>1053</v>
      </c>
      <c r="D40" s="197" t="s">
        <v>1036</v>
      </c>
      <c r="E40" s="138"/>
      <c r="F40" s="138"/>
      <c r="G40" s="138"/>
      <c r="H40" s="138"/>
      <c r="I40" s="138"/>
      <c r="J40" s="138"/>
      <c r="K40" s="138"/>
      <c r="L40" s="64" t="s">
        <v>706</v>
      </c>
      <c r="M40" s="130" t="s">
        <v>707</v>
      </c>
      <c r="N40" s="130"/>
      <c r="O40" s="130"/>
      <c r="P40" s="165" t="s">
        <v>205</v>
      </c>
      <c r="Q40" s="165" t="s">
        <v>205</v>
      </c>
      <c r="R40" s="165" t="s">
        <v>205</v>
      </c>
      <c r="S40" s="165" t="s">
        <v>205</v>
      </c>
      <c r="T40" s="165" t="s">
        <v>205</v>
      </c>
      <c r="U40" s="160"/>
      <c r="V40" s="160"/>
      <c r="W40" s="160" t="s">
        <v>362</v>
      </c>
      <c r="X40" s="160" t="s">
        <v>362</v>
      </c>
      <c r="Y40" s="160" t="s">
        <v>362</v>
      </c>
      <c r="Z40" s="160" t="s">
        <v>362</v>
      </c>
      <c r="AA40" s="160" t="s">
        <v>362</v>
      </c>
      <c r="AB40" s="160" t="s">
        <v>362</v>
      </c>
      <c r="AC40" s="160" t="s">
        <v>362</v>
      </c>
      <c r="AD40" s="136"/>
      <c r="AE40" s="136"/>
      <c r="AF40" s="136"/>
      <c r="AG40" s="136"/>
      <c r="AH40" s="136"/>
      <c r="AI40" s="136"/>
      <c r="AJ40" s="136"/>
      <c r="AK40" s="136">
        <f t="shared" si="25"/>
        <v>0</v>
      </c>
      <c r="AL40" s="270" t="s">
        <v>390</v>
      </c>
    </row>
  </sheetData>
  <dataConsolidate/>
  <mergeCells count="81">
    <mergeCell ref="AP2:AT2"/>
    <mergeCell ref="AP4:AP5"/>
    <mergeCell ref="AQ4:AQ5"/>
    <mergeCell ref="AR4:AR5"/>
    <mergeCell ref="AS4:AS5"/>
    <mergeCell ref="AT4:AT5"/>
    <mergeCell ref="B4:B5"/>
    <mergeCell ref="C4:C5"/>
    <mergeCell ref="AD2:AK2"/>
    <mergeCell ref="D4:D5"/>
    <mergeCell ref="E4:E5"/>
    <mergeCell ref="F4:F5"/>
    <mergeCell ref="G4:G5"/>
    <mergeCell ref="H4:H5"/>
    <mergeCell ref="I4:I5"/>
    <mergeCell ref="J4:J5"/>
    <mergeCell ref="K4:K5"/>
    <mergeCell ref="AD4:AD5"/>
    <mergeCell ref="E2:K2"/>
    <mergeCell ref="P2:T2"/>
    <mergeCell ref="U2:AC2"/>
    <mergeCell ref="AI4:AI5"/>
    <mergeCell ref="AH4:AH5"/>
    <mergeCell ref="X15:AC15"/>
    <mergeCell ref="X17:AC17"/>
    <mergeCell ref="X13:AC13"/>
    <mergeCell ref="AL4:AL5"/>
    <mergeCell ref="AE4:AE5"/>
    <mergeCell ref="AF4:AF5"/>
    <mergeCell ref="AG4:AG5"/>
    <mergeCell ref="AJ4:AJ5"/>
    <mergeCell ref="AK4:AK5"/>
    <mergeCell ref="B32:B33"/>
    <mergeCell ref="C32:C33"/>
    <mergeCell ref="X30:AC31"/>
    <mergeCell ref="W30:W31"/>
    <mergeCell ref="U30:U31"/>
    <mergeCell ref="L30:L31"/>
    <mergeCell ref="R30:R31"/>
    <mergeCell ref="S30:S31"/>
    <mergeCell ref="T30:T31"/>
    <mergeCell ref="M30:M31"/>
    <mergeCell ref="N30:N31"/>
    <mergeCell ref="O30:O31"/>
    <mergeCell ref="P30:P31"/>
    <mergeCell ref="Q30:Q31"/>
    <mergeCell ref="D32:D33"/>
    <mergeCell ref="E32:E33"/>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U32:U33"/>
    <mergeCell ref="V32:V33"/>
    <mergeCell ref="W32:W33"/>
    <mergeCell ref="X32:X33"/>
    <mergeCell ref="Y32:Y33"/>
    <mergeCell ref="Z32:Z33"/>
    <mergeCell ref="AA32:AA33"/>
    <mergeCell ref="AB32:AB33"/>
    <mergeCell ref="AC32:AC33"/>
    <mergeCell ref="AL32:AL33"/>
    <mergeCell ref="AD32:AD33"/>
    <mergeCell ref="AE32:AE33"/>
    <mergeCell ref="AF32:AF33"/>
    <mergeCell ref="AG32:AG33"/>
    <mergeCell ref="AH32:AH33"/>
    <mergeCell ref="AI32:AI33"/>
    <mergeCell ref="AJ32:AJ33"/>
    <mergeCell ref="AK32:AK33"/>
  </mergeCells>
  <pageMargins left="0.7" right="0.7" top="0.75" bottom="0.75" header="0.3" footer="0.3"/>
  <pageSetup paperSize="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workbookViewId="0">
      <selection activeCell="F14" sqref="F14"/>
    </sheetView>
  </sheetViews>
  <sheetFormatPr defaultRowHeight="15" x14ac:dyDescent="0.25"/>
  <cols>
    <col min="1" max="1" width="14" bestFit="1" customWidth="1"/>
    <col min="2" max="2" width="51" bestFit="1" customWidth="1"/>
    <col min="3" max="3" width="11.5703125" bestFit="1" customWidth="1"/>
    <col min="6" max="6" width="14.28515625" bestFit="1" customWidth="1"/>
    <col min="7" max="7" width="52.85546875" customWidth="1"/>
    <col min="11" max="11" width="14.28515625" bestFit="1" customWidth="1"/>
    <col min="12" max="12" width="40.42578125" customWidth="1"/>
    <col min="13" max="13" width="8" bestFit="1" customWidth="1"/>
    <col min="16" max="16" width="14.28515625" bestFit="1" customWidth="1"/>
    <col min="17" max="17" width="40" customWidth="1"/>
    <col min="18" max="18" width="8" bestFit="1" customWidth="1"/>
    <col min="21" max="21" width="14.28515625" bestFit="1" customWidth="1"/>
    <col min="22" max="22" width="46.140625" customWidth="1"/>
    <col min="23" max="23" width="9" bestFit="1" customWidth="1"/>
  </cols>
  <sheetData>
    <row r="1" spans="1:23" x14ac:dyDescent="0.25">
      <c r="A1" s="485" t="s">
        <v>743</v>
      </c>
      <c r="B1" s="485"/>
      <c r="C1" s="485"/>
      <c r="F1" s="485" t="s">
        <v>765</v>
      </c>
      <c r="G1" s="485"/>
      <c r="H1" s="485"/>
      <c r="K1" s="485" t="s">
        <v>778</v>
      </c>
      <c r="L1" s="485"/>
      <c r="M1" s="485"/>
      <c r="P1" s="485" t="s">
        <v>781</v>
      </c>
      <c r="Q1" s="485"/>
      <c r="R1" s="485"/>
      <c r="U1" s="485" t="s">
        <v>782</v>
      </c>
      <c r="V1" s="485"/>
      <c r="W1" s="485"/>
    </row>
    <row r="2" spans="1:23" x14ac:dyDescent="0.25">
      <c r="A2" s="5" t="s">
        <v>744</v>
      </c>
      <c r="B2" s="5" t="s">
        <v>745</v>
      </c>
      <c r="C2" s="5" t="s">
        <v>746</v>
      </c>
      <c r="F2" s="5" t="s">
        <v>744</v>
      </c>
      <c r="G2" s="5" t="s">
        <v>745</v>
      </c>
      <c r="H2" s="5" t="s">
        <v>746</v>
      </c>
      <c r="K2" s="5" t="s">
        <v>744</v>
      </c>
      <c r="L2" s="5" t="s">
        <v>745</v>
      </c>
      <c r="M2" s="5" t="s">
        <v>746</v>
      </c>
      <c r="P2" s="5" t="s">
        <v>744</v>
      </c>
      <c r="Q2" s="5" t="s">
        <v>745</v>
      </c>
      <c r="R2" s="5" t="s">
        <v>746</v>
      </c>
      <c r="U2" s="5" t="s">
        <v>744</v>
      </c>
      <c r="V2" s="5" t="s">
        <v>745</v>
      </c>
      <c r="W2" s="5" t="s">
        <v>746</v>
      </c>
    </row>
    <row r="3" spans="1:23" ht="45" x14ac:dyDescent="0.25">
      <c r="A3" s="7" t="s">
        <v>12</v>
      </c>
      <c r="B3" s="4" t="s">
        <v>747</v>
      </c>
      <c r="C3" s="8">
        <v>20000</v>
      </c>
      <c r="F3" s="7" t="s">
        <v>413</v>
      </c>
      <c r="G3" s="4" t="s">
        <v>766</v>
      </c>
      <c r="H3" s="8">
        <v>500</v>
      </c>
      <c r="K3" s="271" t="s">
        <v>513</v>
      </c>
      <c r="L3" s="2" t="s">
        <v>752</v>
      </c>
      <c r="M3" s="8">
        <v>60</v>
      </c>
      <c r="P3" s="7" t="s">
        <v>586</v>
      </c>
      <c r="Q3" s="2" t="s">
        <v>1028</v>
      </c>
      <c r="R3" s="8">
        <v>500</v>
      </c>
      <c r="U3" s="7" t="s">
        <v>611</v>
      </c>
      <c r="V3" s="2" t="s">
        <v>401</v>
      </c>
      <c r="W3" s="8">
        <v>25000</v>
      </c>
    </row>
    <row r="4" spans="1:23" ht="30" x14ac:dyDescent="0.25">
      <c r="A4" s="7" t="s">
        <v>13</v>
      </c>
      <c r="B4" s="3" t="s">
        <v>748</v>
      </c>
      <c r="C4" s="8">
        <v>40000</v>
      </c>
      <c r="F4" s="7" t="s">
        <v>420</v>
      </c>
      <c r="G4" s="10" t="s">
        <v>1028</v>
      </c>
      <c r="H4" s="8">
        <v>300</v>
      </c>
      <c r="K4" s="271" t="s">
        <v>515</v>
      </c>
      <c r="L4" s="10" t="s">
        <v>766</v>
      </c>
      <c r="M4" s="8">
        <v>500</v>
      </c>
      <c r="P4" s="13" t="s">
        <v>588</v>
      </c>
      <c r="Q4" s="2" t="s">
        <v>755</v>
      </c>
      <c r="R4" s="8">
        <v>100</v>
      </c>
      <c r="U4" s="13" t="s">
        <v>614</v>
      </c>
      <c r="V4" s="2" t="s">
        <v>783</v>
      </c>
      <c r="W4" s="8">
        <v>15000</v>
      </c>
    </row>
    <row r="5" spans="1:23" ht="45" x14ac:dyDescent="0.25">
      <c r="A5" s="486" t="s">
        <v>31</v>
      </c>
      <c r="B5" s="4" t="s">
        <v>749</v>
      </c>
      <c r="C5" s="8">
        <v>60</v>
      </c>
      <c r="F5" s="7" t="s">
        <v>422</v>
      </c>
      <c r="G5" s="3" t="s">
        <v>755</v>
      </c>
      <c r="H5" s="8">
        <v>100</v>
      </c>
      <c r="K5" s="271" t="s">
        <v>521</v>
      </c>
      <c r="L5" s="2" t="s">
        <v>1028</v>
      </c>
      <c r="M5" s="8">
        <v>300</v>
      </c>
      <c r="P5" s="7" t="s">
        <v>590</v>
      </c>
      <c r="Q5" s="2" t="s">
        <v>772</v>
      </c>
      <c r="R5" s="8">
        <v>20000</v>
      </c>
      <c r="U5" s="7" t="s">
        <v>617</v>
      </c>
      <c r="V5" s="2" t="s">
        <v>401</v>
      </c>
      <c r="W5" s="8">
        <v>40000</v>
      </c>
    </row>
    <row r="6" spans="1:23" ht="45" x14ac:dyDescent="0.25">
      <c r="A6" s="486"/>
      <c r="B6" s="3" t="s">
        <v>750</v>
      </c>
      <c r="C6" s="8">
        <v>100</v>
      </c>
      <c r="F6" s="7" t="s">
        <v>424</v>
      </c>
      <c r="G6" s="4" t="s">
        <v>767</v>
      </c>
      <c r="H6" s="8">
        <v>20</v>
      </c>
      <c r="K6" s="271" t="s">
        <v>523</v>
      </c>
      <c r="L6" s="2" t="s">
        <v>755</v>
      </c>
      <c r="M6" s="8">
        <v>100</v>
      </c>
      <c r="P6" s="7" t="s">
        <v>599</v>
      </c>
      <c r="Q6" s="2" t="s">
        <v>401</v>
      </c>
      <c r="R6" s="8">
        <v>30000</v>
      </c>
      <c r="U6" s="7" t="s">
        <v>621</v>
      </c>
      <c r="V6" s="2" t="s">
        <v>401</v>
      </c>
      <c r="W6" s="8">
        <v>60000</v>
      </c>
    </row>
    <row r="7" spans="1:23" ht="45" x14ac:dyDescent="0.25">
      <c r="A7" s="7" t="s">
        <v>32</v>
      </c>
      <c r="B7" s="4" t="s">
        <v>751</v>
      </c>
      <c r="C7" s="8">
        <v>50000</v>
      </c>
      <c r="F7" s="477" t="s">
        <v>426</v>
      </c>
      <c r="G7" s="4" t="s">
        <v>768</v>
      </c>
      <c r="H7" s="8">
        <v>400</v>
      </c>
      <c r="K7" s="7" t="s">
        <v>525</v>
      </c>
      <c r="L7" s="3" t="s">
        <v>779</v>
      </c>
      <c r="M7" s="8">
        <v>20000</v>
      </c>
      <c r="P7" s="477" t="s">
        <v>601</v>
      </c>
      <c r="Q7" s="1" t="s">
        <v>401</v>
      </c>
      <c r="R7" s="8">
        <v>30000</v>
      </c>
      <c r="U7" s="7" t="s">
        <v>630</v>
      </c>
      <c r="V7" s="2" t="s">
        <v>401</v>
      </c>
      <c r="W7" s="8">
        <v>20000</v>
      </c>
    </row>
    <row r="8" spans="1:23" ht="45" x14ac:dyDescent="0.25">
      <c r="A8" s="7" t="s">
        <v>33</v>
      </c>
      <c r="B8" s="3" t="s">
        <v>752</v>
      </c>
      <c r="C8" s="8">
        <v>60</v>
      </c>
      <c r="F8" s="478"/>
      <c r="G8" s="4" t="s">
        <v>769</v>
      </c>
      <c r="H8" s="8">
        <v>400</v>
      </c>
      <c r="K8" s="7" t="s">
        <v>571</v>
      </c>
      <c r="L8" s="3" t="s">
        <v>758</v>
      </c>
      <c r="M8" s="8">
        <v>50000</v>
      </c>
      <c r="P8" s="479"/>
      <c r="Q8" s="1" t="s">
        <v>401</v>
      </c>
      <c r="R8" s="8">
        <v>20000</v>
      </c>
      <c r="U8" s="7" t="s">
        <v>634</v>
      </c>
      <c r="V8" s="1" t="s">
        <v>401</v>
      </c>
      <c r="W8" s="8">
        <v>30000</v>
      </c>
    </row>
    <row r="9" spans="1:23" ht="45" x14ac:dyDescent="0.25">
      <c r="A9" s="7" t="s">
        <v>15</v>
      </c>
      <c r="B9" s="4" t="s">
        <v>753</v>
      </c>
      <c r="C9" s="8">
        <v>40000</v>
      </c>
      <c r="F9" s="479"/>
      <c r="G9" s="4" t="s">
        <v>770</v>
      </c>
      <c r="H9" s="8">
        <v>600</v>
      </c>
      <c r="K9" s="7" t="s">
        <v>574</v>
      </c>
      <c r="L9" s="3" t="s">
        <v>780</v>
      </c>
      <c r="M9" s="8">
        <v>100</v>
      </c>
      <c r="U9" s="7" t="s">
        <v>641</v>
      </c>
      <c r="V9" s="1" t="s">
        <v>401</v>
      </c>
      <c r="W9" s="8">
        <v>20000</v>
      </c>
    </row>
    <row r="10" spans="1:23" ht="30" x14ac:dyDescent="0.25">
      <c r="A10" s="7" t="s">
        <v>53</v>
      </c>
      <c r="B10" s="4" t="s">
        <v>754</v>
      </c>
      <c r="C10" s="8">
        <v>10</v>
      </c>
      <c r="F10" s="7" t="s">
        <v>429</v>
      </c>
      <c r="G10" s="3" t="s">
        <v>771</v>
      </c>
      <c r="H10" s="8">
        <v>25</v>
      </c>
      <c r="K10" s="477" t="s">
        <v>576</v>
      </c>
      <c r="L10" s="4" t="s">
        <v>775</v>
      </c>
      <c r="M10" s="8">
        <v>5000</v>
      </c>
      <c r="U10" s="7" t="s">
        <v>645</v>
      </c>
      <c r="V10" s="1" t="s">
        <v>730</v>
      </c>
      <c r="W10" s="8">
        <v>25000</v>
      </c>
    </row>
    <row r="11" spans="1:23" ht="30" x14ac:dyDescent="0.25">
      <c r="A11" s="7" t="s">
        <v>57</v>
      </c>
      <c r="B11" s="4" t="s">
        <v>1028</v>
      </c>
      <c r="C11" s="8">
        <v>300</v>
      </c>
      <c r="F11" s="7" t="s">
        <v>436</v>
      </c>
      <c r="G11" s="4" t="s">
        <v>772</v>
      </c>
      <c r="H11" s="8">
        <v>20000</v>
      </c>
      <c r="K11" s="479"/>
      <c r="L11" s="3" t="s">
        <v>776</v>
      </c>
      <c r="M11" s="8">
        <v>50</v>
      </c>
      <c r="U11" s="486" t="s">
        <v>784</v>
      </c>
      <c r="V11" s="487" t="s">
        <v>401</v>
      </c>
      <c r="W11" s="8">
        <v>150000</v>
      </c>
    </row>
    <row r="12" spans="1:23" ht="30" x14ac:dyDescent="0.25">
      <c r="A12" s="7" t="s">
        <v>58</v>
      </c>
      <c r="B12" s="3" t="s">
        <v>755</v>
      </c>
      <c r="C12" s="8">
        <v>100</v>
      </c>
      <c r="F12" s="7" t="s">
        <v>441</v>
      </c>
      <c r="G12" s="3" t="s">
        <v>773</v>
      </c>
      <c r="H12" s="8">
        <v>50</v>
      </c>
      <c r="U12" s="486"/>
      <c r="V12" s="487"/>
      <c r="W12" s="8">
        <v>200000</v>
      </c>
    </row>
    <row r="13" spans="1:23" x14ac:dyDescent="0.25">
      <c r="A13" s="7" t="s">
        <v>59</v>
      </c>
      <c r="B13" s="4" t="s">
        <v>756</v>
      </c>
      <c r="C13" s="8">
        <v>50</v>
      </c>
      <c r="F13" s="7" t="s">
        <v>450</v>
      </c>
      <c r="G13" s="4" t="s">
        <v>774</v>
      </c>
      <c r="H13" s="8">
        <v>50</v>
      </c>
      <c r="U13" s="486"/>
      <c r="V13" s="487"/>
      <c r="W13" s="8">
        <v>100000</v>
      </c>
    </row>
    <row r="14" spans="1:23" ht="30" x14ac:dyDescent="0.25">
      <c r="A14" s="486" t="s">
        <v>24</v>
      </c>
      <c r="B14" s="3" t="s">
        <v>757</v>
      </c>
      <c r="C14" s="8">
        <v>60000</v>
      </c>
      <c r="F14" s="7" t="s">
        <v>453</v>
      </c>
      <c r="G14" s="3" t="s">
        <v>752</v>
      </c>
      <c r="H14" s="8">
        <v>60</v>
      </c>
      <c r="U14" s="477" t="s">
        <v>655</v>
      </c>
      <c r="V14" s="475" t="s">
        <v>401</v>
      </c>
      <c r="W14" s="8">
        <v>20000</v>
      </c>
    </row>
    <row r="15" spans="1:23" x14ac:dyDescent="0.25">
      <c r="A15" s="486"/>
      <c r="B15" s="4" t="s">
        <v>758</v>
      </c>
      <c r="C15" s="8">
        <v>16000</v>
      </c>
      <c r="F15" s="7" t="s">
        <v>455</v>
      </c>
      <c r="G15" s="4" t="s">
        <v>758</v>
      </c>
      <c r="H15" s="8">
        <v>50000</v>
      </c>
      <c r="U15" s="479"/>
      <c r="V15" s="476"/>
      <c r="W15" s="8">
        <v>60000</v>
      </c>
    </row>
    <row r="16" spans="1:23" ht="30" x14ac:dyDescent="0.25">
      <c r="A16" s="7" t="s">
        <v>34</v>
      </c>
      <c r="B16" s="3" t="s">
        <v>759</v>
      </c>
      <c r="C16" s="8">
        <v>110000</v>
      </c>
      <c r="F16" s="477" t="s">
        <v>460</v>
      </c>
      <c r="G16" s="4" t="s">
        <v>775</v>
      </c>
      <c r="H16" s="8">
        <v>5000</v>
      </c>
      <c r="L16" s="12"/>
      <c r="U16" s="7" t="s">
        <v>659</v>
      </c>
      <c r="V16" s="6" t="s">
        <v>732</v>
      </c>
      <c r="W16" s="8">
        <v>100000</v>
      </c>
    </row>
    <row r="17" spans="1:23" ht="45" x14ac:dyDescent="0.25">
      <c r="A17" s="7" t="s">
        <v>35</v>
      </c>
      <c r="B17" s="4" t="s">
        <v>760</v>
      </c>
      <c r="C17" s="8">
        <v>11000000</v>
      </c>
      <c r="F17" s="479"/>
      <c r="G17" s="3" t="s">
        <v>776</v>
      </c>
      <c r="H17" s="8">
        <v>50</v>
      </c>
      <c r="L17" s="12"/>
      <c r="U17" s="7" t="s">
        <v>662</v>
      </c>
      <c r="V17" s="6" t="s">
        <v>401</v>
      </c>
      <c r="W17" s="8">
        <v>15000</v>
      </c>
    </row>
    <row r="18" spans="1:23" ht="45" x14ac:dyDescent="0.25">
      <c r="A18" s="7" t="s">
        <v>36</v>
      </c>
      <c r="B18" s="4" t="s">
        <v>761</v>
      </c>
      <c r="C18" s="8">
        <v>11000000</v>
      </c>
      <c r="F18" s="7" t="s">
        <v>462</v>
      </c>
      <c r="G18" s="4" t="s">
        <v>777</v>
      </c>
      <c r="H18" s="8">
        <v>600</v>
      </c>
      <c r="U18" s="7" t="s">
        <v>666</v>
      </c>
      <c r="V18" s="6" t="s">
        <v>401</v>
      </c>
      <c r="W18" s="8">
        <v>15000</v>
      </c>
    </row>
    <row r="19" spans="1:23" ht="45" x14ac:dyDescent="0.25">
      <c r="A19" s="7" t="s">
        <v>37</v>
      </c>
      <c r="B19" s="3" t="s">
        <v>762</v>
      </c>
      <c r="C19" s="8">
        <v>400</v>
      </c>
      <c r="F19" s="7" t="s">
        <v>485</v>
      </c>
      <c r="G19" s="3" t="s">
        <v>721</v>
      </c>
      <c r="H19" s="8">
        <v>15000</v>
      </c>
      <c r="U19" s="477" t="s">
        <v>683</v>
      </c>
      <c r="V19" s="480" t="s">
        <v>785</v>
      </c>
      <c r="W19" s="8">
        <v>20000</v>
      </c>
    </row>
    <row r="20" spans="1:23" ht="30" x14ac:dyDescent="0.25">
      <c r="A20" s="7" t="s">
        <v>27</v>
      </c>
      <c r="B20" s="3" t="s">
        <v>763</v>
      </c>
      <c r="C20" s="8">
        <v>30000</v>
      </c>
      <c r="U20" s="478"/>
      <c r="V20" s="481"/>
      <c r="W20" s="8">
        <v>80000</v>
      </c>
    </row>
    <row r="21" spans="1:23" ht="30" x14ac:dyDescent="0.25">
      <c r="A21" s="7" t="s">
        <v>28</v>
      </c>
      <c r="B21" s="3" t="s">
        <v>764</v>
      </c>
      <c r="C21" s="8">
        <v>20000</v>
      </c>
      <c r="U21" s="479"/>
      <c r="V21" s="482"/>
      <c r="W21" s="8">
        <v>100000</v>
      </c>
    </row>
    <row r="22" spans="1:23" ht="60" x14ac:dyDescent="0.25">
      <c r="A22" s="9"/>
      <c r="U22" s="7" t="s">
        <v>685</v>
      </c>
      <c r="V22" s="6" t="s">
        <v>733</v>
      </c>
      <c r="W22" s="8">
        <v>50000</v>
      </c>
    </row>
    <row r="23" spans="1:23" x14ac:dyDescent="0.25">
      <c r="A23" s="9"/>
      <c r="U23" s="477" t="s">
        <v>689</v>
      </c>
      <c r="V23" s="483" t="s">
        <v>401</v>
      </c>
      <c r="W23" s="8">
        <v>20000</v>
      </c>
    </row>
    <row r="24" spans="1:23" x14ac:dyDescent="0.25">
      <c r="U24" s="479"/>
      <c r="V24" s="484"/>
      <c r="W24" s="8">
        <v>25000</v>
      </c>
    </row>
    <row r="25" spans="1:23" x14ac:dyDescent="0.25">
      <c r="U25" s="7" t="s">
        <v>696</v>
      </c>
      <c r="V25" s="6" t="s">
        <v>758</v>
      </c>
      <c r="W25" s="8">
        <v>120000</v>
      </c>
    </row>
    <row r="26" spans="1:23" ht="45" x14ac:dyDescent="0.25">
      <c r="U26" s="7" t="s">
        <v>701</v>
      </c>
      <c r="V26" s="6" t="s">
        <v>401</v>
      </c>
      <c r="W26" s="8">
        <v>20000</v>
      </c>
    </row>
  </sheetData>
  <mergeCells count="19">
    <mergeCell ref="U1:W1"/>
    <mergeCell ref="F16:F17"/>
    <mergeCell ref="K10:K11"/>
    <mergeCell ref="P1:R1"/>
    <mergeCell ref="P7:P8"/>
    <mergeCell ref="K1:M1"/>
    <mergeCell ref="U11:U13"/>
    <mergeCell ref="V11:V13"/>
    <mergeCell ref="U14:U15"/>
    <mergeCell ref="A1:C1"/>
    <mergeCell ref="A5:A6"/>
    <mergeCell ref="A14:A15"/>
    <mergeCell ref="F1:H1"/>
    <mergeCell ref="F7:F9"/>
    <mergeCell ref="V14:V15"/>
    <mergeCell ref="U19:U21"/>
    <mergeCell ref="V19:V21"/>
    <mergeCell ref="U23:U24"/>
    <mergeCell ref="V23:V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4"/>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RowHeight="15" outlineLevelRow="1" x14ac:dyDescent="0.25"/>
  <cols>
    <col min="1" max="1" width="13.140625" bestFit="1" customWidth="1"/>
    <col min="2" max="2" width="64.42578125" customWidth="1"/>
    <col min="3" max="3" width="91.42578125" customWidth="1"/>
    <col min="4" max="4" width="76" customWidth="1"/>
    <col min="5" max="5" width="17.28515625" customWidth="1"/>
    <col min="6" max="6" width="16.28515625" bestFit="1" customWidth="1"/>
    <col min="7" max="9" width="17.7109375" bestFit="1" customWidth="1"/>
    <col min="10" max="12" width="18.85546875" bestFit="1" customWidth="1"/>
    <col min="13" max="13" width="17.28515625" bestFit="1" customWidth="1"/>
    <col min="14" max="14" width="16" bestFit="1" customWidth="1"/>
    <col min="15" max="18" width="17.28515625" bestFit="1" customWidth="1"/>
    <col min="19" max="19" width="16.140625" bestFit="1" customWidth="1"/>
  </cols>
  <sheetData>
    <row r="1" spans="1:19" ht="30" x14ac:dyDescent="0.25">
      <c r="A1" s="36" t="s">
        <v>811</v>
      </c>
      <c r="B1" s="36" t="s">
        <v>160</v>
      </c>
      <c r="C1" s="36" t="s">
        <v>812</v>
      </c>
      <c r="D1" s="36" t="s">
        <v>813</v>
      </c>
      <c r="E1" s="36">
        <v>2023</v>
      </c>
      <c r="F1" s="37">
        <v>2024</v>
      </c>
      <c r="G1" s="37">
        <v>2025</v>
      </c>
      <c r="H1" s="37">
        <v>2026</v>
      </c>
      <c r="I1" s="37">
        <v>2027</v>
      </c>
      <c r="J1" s="37">
        <v>2028</v>
      </c>
      <c r="K1" s="37">
        <v>2029</v>
      </c>
      <c r="L1" s="37">
        <v>2030</v>
      </c>
      <c r="M1" s="37" t="s">
        <v>814</v>
      </c>
      <c r="N1" s="37"/>
      <c r="O1" s="37">
        <v>2031</v>
      </c>
      <c r="P1" s="37">
        <v>2032</v>
      </c>
      <c r="Q1" s="37">
        <v>2033</v>
      </c>
      <c r="R1" s="37">
        <v>2034</v>
      </c>
      <c r="S1" s="37">
        <v>2035</v>
      </c>
    </row>
    <row r="2" spans="1:19" ht="135" collapsed="1" x14ac:dyDescent="0.25">
      <c r="A2" s="9">
        <v>1</v>
      </c>
      <c r="B2" s="38" t="s">
        <v>345</v>
      </c>
      <c r="C2" s="38" t="s">
        <v>815</v>
      </c>
      <c r="D2" s="38" t="s">
        <v>816</v>
      </c>
      <c r="E2" s="39">
        <f>+E3*E5*20%*12</f>
        <v>0</v>
      </c>
      <c r="F2" s="39">
        <f t="shared" ref="F2:L2" si="0">+F3*F5*20%*12</f>
        <v>0</v>
      </c>
      <c r="G2" s="39">
        <f>+G3*G5*20%*12</f>
        <v>331542720</v>
      </c>
      <c r="H2" s="39">
        <f t="shared" si="0"/>
        <v>1389163996.8000002</v>
      </c>
      <c r="I2" s="39">
        <f t="shared" si="0"/>
        <v>2542932662.4000001</v>
      </c>
      <c r="J2" s="39">
        <f t="shared" si="0"/>
        <v>4555396972.8000002</v>
      </c>
      <c r="K2" s="39">
        <f t="shared" si="0"/>
        <v>7133141620.7999992</v>
      </c>
      <c r="L2" s="39">
        <f t="shared" si="0"/>
        <v>9919758182.4000015</v>
      </c>
      <c r="O2" s="39">
        <f>L2*1.04</f>
        <v>10316548509.696001</v>
      </c>
      <c r="P2" s="39">
        <f>O2*1.04</f>
        <v>10729210450.083841</v>
      </c>
      <c r="Q2" s="39">
        <f t="shared" ref="Q2:S2" si="1">P2*1.04</f>
        <v>11158378868.087194</v>
      </c>
      <c r="R2" s="39">
        <f t="shared" si="1"/>
        <v>11604714022.810682</v>
      </c>
      <c r="S2" s="39">
        <f t="shared" si="1"/>
        <v>12068902583.72311</v>
      </c>
    </row>
    <row r="3" spans="1:19" ht="45" hidden="1" outlineLevel="1" x14ac:dyDescent="0.25">
      <c r="A3" s="489" t="s">
        <v>184</v>
      </c>
      <c r="B3" s="489"/>
      <c r="C3" s="40"/>
      <c r="D3" s="11" t="s">
        <v>120</v>
      </c>
      <c r="E3" s="39">
        <f>+'StG 1'!U28</f>
        <v>0</v>
      </c>
      <c r="F3" s="39">
        <f>+'StG 1'!W28</f>
        <v>0</v>
      </c>
      <c r="G3" s="39">
        <f>+'StG 1'!X28</f>
        <v>200</v>
      </c>
      <c r="H3" s="39">
        <f>+'StG 1'!Y28</f>
        <v>838</v>
      </c>
      <c r="I3" s="39">
        <f>+'StG 1'!Z28</f>
        <v>1534</v>
      </c>
      <c r="J3" s="39">
        <f>+'StG 1'!AA28</f>
        <v>2748</v>
      </c>
      <c r="K3" s="39">
        <f>+'StG 1'!AB28</f>
        <v>4303</v>
      </c>
      <c r="L3" s="39">
        <f>+'StG 1'!AC28</f>
        <v>5984</v>
      </c>
      <c r="O3" s="26"/>
      <c r="P3" s="26"/>
      <c r="Q3" s="26"/>
      <c r="R3" s="26"/>
      <c r="S3" s="26"/>
    </row>
    <row r="4" spans="1:19" hidden="1" outlineLevel="1" x14ac:dyDescent="0.25">
      <c r="A4" s="489"/>
      <c r="B4" s="489"/>
      <c r="C4" s="40"/>
      <c r="D4" s="11" t="s">
        <v>817</v>
      </c>
      <c r="E4" s="39">
        <v>500000</v>
      </c>
      <c r="F4" s="39">
        <f>+E4</f>
        <v>500000</v>
      </c>
      <c r="G4" s="39">
        <f t="shared" ref="G4:L5" si="2">+F4</f>
        <v>500000</v>
      </c>
      <c r="H4" s="39">
        <f t="shared" si="2"/>
        <v>500000</v>
      </c>
      <c r="I4" s="39">
        <f t="shared" si="2"/>
        <v>500000</v>
      </c>
      <c r="J4" s="39">
        <f t="shared" si="2"/>
        <v>500000</v>
      </c>
      <c r="K4" s="39">
        <f t="shared" si="2"/>
        <v>500000</v>
      </c>
      <c r="L4" s="39">
        <f t="shared" si="2"/>
        <v>500000</v>
      </c>
      <c r="O4" s="26"/>
      <c r="P4" s="26"/>
      <c r="Q4" s="26"/>
      <c r="R4" s="26"/>
      <c r="S4" s="26"/>
    </row>
    <row r="5" spans="1:19" hidden="1" outlineLevel="1" x14ac:dyDescent="0.25">
      <c r="A5" s="489"/>
      <c r="B5" s="489"/>
      <c r="C5" s="40"/>
      <c r="D5" s="11" t="s">
        <v>818</v>
      </c>
      <c r="E5" s="39">
        <v>690714</v>
      </c>
      <c r="F5" s="39">
        <f>+E5</f>
        <v>690714</v>
      </c>
      <c r="G5" s="39">
        <f t="shared" si="2"/>
        <v>690714</v>
      </c>
      <c r="H5" s="39">
        <f t="shared" si="2"/>
        <v>690714</v>
      </c>
      <c r="I5" s="39">
        <f t="shared" si="2"/>
        <v>690714</v>
      </c>
      <c r="J5" s="39">
        <f t="shared" si="2"/>
        <v>690714</v>
      </c>
      <c r="K5" s="39">
        <f t="shared" si="2"/>
        <v>690714</v>
      </c>
      <c r="L5" s="39">
        <f t="shared" si="2"/>
        <v>690714</v>
      </c>
      <c r="O5" s="26"/>
      <c r="P5" s="26"/>
      <c r="Q5" s="26"/>
      <c r="R5" s="26"/>
      <c r="S5" s="26"/>
    </row>
    <row r="6" spans="1:19" ht="135" collapsed="1" x14ac:dyDescent="0.25">
      <c r="A6" s="9">
        <v>2</v>
      </c>
      <c r="B6" s="38" t="s">
        <v>55</v>
      </c>
      <c r="C6" s="38" t="s">
        <v>819</v>
      </c>
      <c r="D6" s="38" t="s">
        <v>820</v>
      </c>
      <c r="E6" s="39">
        <f>+E7*E9*20%*12</f>
        <v>0</v>
      </c>
      <c r="F6" s="39">
        <f t="shared" ref="F6:H6" si="3">+F7*F9*20%*12</f>
        <v>0</v>
      </c>
      <c r="G6" s="39">
        <f t="shared" si="3"/>
        <v>63075000</v>
      </c>
      <c r="H6" s="39">
        <f t="shared" si="3"/>
        <v>264915000</v>
      </c>
      <c r="I6" s="39">
        <f>+I7*I9*20%*12</f>
        <v>485677500</v>
      </c>
      <c r="J6" s="39">
        <f>+J7*J9*20%*12</f>
        <v>870435000</v>
      </c>
      <c r="K6" s="39">
        <f>+K7*K9*20%*12</f>
        <v>1362420000</v>
      </c>
      <c r="L6" s="39">
        <f>+L7*L9*20%*12</f>
        <v>1892250000</v>
      </c>
      <c r="O6" s="39">
        <f>L6*1.04</f>
        <v>1967940000</v>
      </c>
      <c r="P6" s="39">
        <f>O6*1.04</f>
        <v>2046657600</v>
      </c>
      <c r="Q6" s="39">
        <f t="shared" ref="Q6:S6" si="4">P6*1.04</f>
        <v>2128523904</v>
      </c>
      <c r="R6" s="39">
        <f t="shared" si="4"/>
        <v>2213664860.1599998</v>
      </c>
      <c r="S6" s="39">
        <f t="shared" si="4"/>
        <v>2302211454.5664001</v>
      </c>
    </row>
    <row r="7" spans="1:19" ht="45" hidden="1" outlineLevel="1" x14ac:dyDescent="0.25">
      <c r="A7" s="489" t="s">
        <v>184</v>
      </c>
      <c r="B7" s="489"/>
      <c r="C7" s="38"/>
      <c r="D7" s="11" t="s">
        <v>821</v>
      </c>
      <c r="E7" s="39">
        <f>+'StG 1'!U29</f>
        <v>0</v>
      </c>
      <c r="F7" s="39">
        <f>+'StG 1'!W29</f>
        <v>0</v>
      </c>
      <c r="G7" s="39">
        <f>+'StG 1'!X29</f>
        <v>10</v>
      </c>
      <c r="H7" s="39">
        <f>+'StG 1'!Y29</f>
        <v>42</v>
      </c>
      <c r="I7" s="39">
        <f>+'StG 1'!Z29</f>
        <v>77</v>
      </c>
      <c r="J7" s="39">
        <f>+'StG 1'!AA29</f>
        <v>138</v>
      </c>
      <c r="K7" s="39">
        <f>+'StG 1'!AB29</f>
        <v>216</v>
      </c>
      <c r="L7" s="39">
        <f>+'StG 1'!AC29</f>
        <v>300</v>
      </c>
      <c r="O7" s="26"/>
      <c r="P7" s="26"/>
      <c r="Q7" s="26"/>
      <c r="R7" s="26"/>
      <c r="S7" s="26"/>
    </row>
    <row r="8" spans="1:19" hidden="1" outlineLevel="1" x14ac:dyDescent="0.25">
      <c r="A8" s="489"/>
      <c r="B8" s="489"/>
      <c r="C8" s="38"/>
      <c r="D8" s="11" t="s">
        <v>817</v>
      </c>
      <c r="E8" s="39">
        <v>2000000</v>
      </c>
      <c r="F8" s="26">
        <f>+E8</f>
        <v>2000000</v>
      </c>
      <c r="G8" s="26">
        <f>+F8</f>
        <v>2000000</v>
      </c>
      <c r="H8" s="26">
        <f t="shared" ref="G8:L9" si="5">+G8</f>
        <v>2000000</v>
      </c>
      <c r="I8" s="26">
        <f t="shared" si="5"/>
        <v>2000000</v>
      </c>
      <c r="J8" s="26">
        <f t="shared" si="5"/>
        <v>2000000</v>
      </c>
      <c r="K8" s="26">
        <f t="shared" si="5"/>
        <v>2000000</v>
      </c>
      <c r="L8" s="26">
        <f t="shared" si="5"/>
        <v>2000000</v>
      </c>
      <c r="O8" s="26"/>
      <c r="P8" s="26"/>
      <c r="Q8" s="26"/>
      <c r="R8" s="26"/>
      <c r="S8" s="26"/>
    </row>
    <row r="9" spans="1:19" hidden="1" outlineLevel="1" x14ac:dyDescent="0.25">
      <c r="A9" s="489"/>
      <c r="B9" s="489"/>
      <c r="C9" s="38"/>
      <c r="D9" s="11" t="s">
        <v>818</v>
      </c>
      <c r="E9" s="39">
        <v>2628125</v>
      </c>
      <c r="F9" s="26">
        <f>+E9</f>
        <v>2628125</v>
      </c>
      <c r="G9" s="26">
        <f t="shared" si="5"/>
        <v>2628125</v>
      </c>
      <c r="H9" s="26">
        <f t="shared" si="5"/>
        <v>2628125</v>
      </c>
      <c r="I9" s="26">
        <f t="shared" si="5"/>
        <v>2628125</v>
      </c>
      <c r="J9" s="26">
        <f t="shared" si="5"/>
        <v>2628125</v>
      </c>
      <c r="K9" s="26">
        <f t="shared" si="5"/>
        <v>2628125</v>
      </c>
      <c r="L9" s="26">
        <f t="shared" si="5"/>
        <v>2628125</v>
      </c>
      <c r="O9" s="26"/>
      <c r="P9" s="26"/>
      <c r="Q9" s="26"/>
      <c r="R9" s="26"/>
      <c r="S9" s="26"/>
    </row>
    <row r="10" spans="1:19" ht="210" collapsed="1" x14ac:dyDescent="0.25">
      <c r="A10" s="9">
        <v>3</v>
      </c>
      <c r="B10" s="38" t="s">
        <v>997</v>
      </c>
      <c r="C10" s="38" t="s">
        <v>822</v>
      </c>
      <c r="D10" s="38" t="s">
        <v>823</v>
      </c>
      <c r="E10" s="39">
        <f>+E15-E14</f>
        <v>0</v>
      </c>
      <c r="F10" s="39">
        <f>+F15-F14</f>
        <v>1831500000</v>
      </c>
      <c r="G10" s="39">
        <f>+G15-G14</f>
        <v>1648350000</v>
      </c>
      <c r="H10" s="39">
        <f>+H15-H14</f>
        <v>1465200000</v>
      </c>
      <c r="I10" s="39">
        <f t="shared" ref="I10:K10" si="6">+I15-I14</f>
        <v>1098900000.0000005</v>
      </c>
      <c r="J10" s="39">
        <f>+J15-J14</f>
        <v>732599999.99999952</v>
      </c>
      <c r="K10" s="39">
        <f t="shared" si="6"/>
        <v>366300000</v>
      </c>
      <c r="L10" s="39">
        <f>+L15-L14</f>
        <v>0</v>
      </c>
      <c r="O10" s="172">
        <f>L10</f>
        <v>0</v>
      </c>
      <c r="P10" s="172">
        <f>O10</f>
        <v>0</v>
      </c>
      <c r="Q10" s="172">
        <f t="shared" ref="Q10" si="7">N10</f>
        <v>0</v>
      </c>
      <c r="R10" s="172">
        <f t="shared" ref="R10" si="8">Q10</f>
        <v>0</v>
      </c>
      <c r="S10" s="172">
        <f t="shared" ref="S10" si="9">P10</f>
        <v>0</v>
      </c>
    </row>
    <row r="11" spans="1:19" ht="30" hidden="1" outlineLevel="1" x14ac:dyDescent="0.25">
      <c r="A11" s="489" t="s">
        <v>184</v>
      </c>
      <c r="B11" s="489"/>
      <c r="C11" s="38"/>
      <c r="D11" s="41" t="s">
        <v>824</v>
      </c>
      <c r="E11" s="39">
        <v>3256</v>
      </c>
      <c r="F11" s="39">
        <f>+E11</f>
        <v>3256</v>
      </c>
      <c r="G11" s="39">
        <f>+E11*0.95</f>
        <v>3093.2</v>
      </c>
      <c r="H11" s="39">
        <f>+E11*0.9</f>
        <v>2930.4</v>
      </c>
      <c r="I11" s="39">
        <f>+E11*0.8</f>
        <v>2604.8000000000002</v>
      </c>
      <c r="J11" s="39">
        <f>+E11*0.7</f>
        <v>2279.1999999999998</v>
      </c>
      <c r="K11" s="39">
        <f>+E11*0.6</f>
        <v>1953.6</v>
      </c>
      <c r="L11" s="39">
        <f>+E11*0.5</f>
        <v>1628</v>
      </c>
    </row>
    <row r="12" spans="1:19" ht="45" hidden="1" outlineLevel="1" x14ac:dyDescent="0.25">
      <c r="A12" s="489"/>
      <c r="B12" s="489"/>
      <c r="C12" s="38"/>
      <c r="D12" s="11" t="s">
        <v>825</v>
      </c>
      <c r="E12" s="39">
        <v>1500</v>
      </c>
      <c r="F12" s="39">
        <f>+E12</f>
        <v>1500</v>
      </c>
      <c r="G12" s="39">
        <f>+F12</f>
        <v>1500</v>
      </c>
      <c r="H12" s="39">
        <f t="shared" ref="H12:L12" si="10">+G12</f>
        <v>1500</v>
      </c>
      <c r="I12" s="39">
        <f t="shared" si="10"/>
        <v>1500</v>
      </c>
      <c r="J12" s="39">
        <f t="shared" si="10"/>
        <v>1500</v>
      </c>
      <c r="K12" s="39">
        <f t="shared" si="10"/>
        <v>1500</v>
      </c>
      <c r="L12" s="39">
        <f t="shared" si="10"/>
        <v>1500</v>
      </c>
      <c r="N12" s="39"/>
      <c r="O12" s="26"/>
    </row>
    <row r="13" spans="1:19" hidden="1" outlineLevel="1" x14ac:dyDescent="0.25">
      <c r="A13" s="489"/>
      <c r="B13" s="489"/>
      <c r="C13" s="38"/>
      <c r="D13" s="41" t="s">
        <v>826</v>
      </c>
      <c r="E13" s="42">
        <v>150000</v>
      </c>
      <c r="F13" s="42">
        <v>150000</v>
      </c>
      <c r="G13" s="42">
        <v>150000</v>
      </c>
      <c r="H13" s="42">
        <v>150000</v>
      </c>
      <c r="I13" s="42">
        <v>150000</v>
      </c>
      <c r="J13" s="42">
        <v>150000</v>
      </c>
      <c r="K13" s="42">
        <v>150000</v>
      </c>
      <c r="L13" s="42">
        <v>150000</v>
      </c>
      <c r="N13" s="39"/>
      <c r="O13" s="26"/>
    </row>
    <row r="14" spans="1:19" hidden="1" outlineLevel="1" x14ac:dyDescent="0.25">
      <c r="A14" s="489"/>
      <c r="B14" s="489"/>
      <c r="C14" s="38"/>
      <c r="D14" s="11" t="s">
        <v>827</v>
      </c>
      <c r="E14" s="39">
        <f>+$E$11*E12*E13*0.25%</f>
        <v>1831500000</v>
      </c>
      <c r="F14" s="39">
        <f t="shared" ref="F14:L14" si="11">+$E$11*F12*F13*0.25%</f>
        <v>1831500000</v>
      </c>
      <c r="G14" s="39">
        <f>+$E$11*G12*G13*0.25%</f>
        <v>1831500000</v>
      </c>
      <c r="H14" s="39">
        <f>+$E$11*H12*H13*0.25%</f>
        <v>1831500000</v>
      </c>
      <c r="I14" s="39">
        <f t="shared" si="11"/>
        <v>1831500000</v>
      </c>
      <c r="J14" s="39">
        <f t="shared" si="11"/>
        <v>1831500000</v>
      </c>
      <c r="K14" s="39">
        <f t="shared" si="11"/>
        <v>1831500000</v>
      </c>
      <c r="L14" s="39">
        <f t="shared" si="11"/>
        <v>1831500000</v>
      </c>
      <c r="N14" s="39"/>
      <c r="O14" s="39"/>
    </row>
    <row r="15" spans="1:19" hidden="1" outlineLevel="1" x14ac:dyDescent="0.25">
      <c r="A15" s="489"/>
      <c r="B15" s="489"/>
      <c r="C15" s="38"/>
      <c r="D15" s="11" t="s">
        <v>828</v>
      </c>
      <c r="E15" s="39">
        <f>+E11*E12*E13*0.25%</f>
        <v>1831500000</v>
      </c>
      <c r="F15" s="39">
        <f>+F11*F12*F13*0.5%</f>
        <v>3663000000</v>
      </c>
      <c r="G15" s="39">
        <f>+G11*G12*G13*0.5%</f>
        <v>3479850000</v>
      </c>
      <c r="H15" s="39">
        <f>+H11*H12*H13*0.5%</f>
        <v>3296700000</v>
      </c>
      <c r="I15" s="39">
        <f>+I11*I12*I13*0.5%</f>
        <v>2930400000.0000005</v>
      </c>
      <c r="J15" s="39">
        <f t="shared" ref="J15:K15" si="12">+J11*J12*J13*0.5%</f>
        <v>2564099999.9999995</v>
      </c>
      <c r="K15" s="39">
        <f t="shared" si="12"/>
        <v>2197800000</v>
      </c>
      <c r="L15" s="39">
        <f>+L11*L12*L13*0.5%</f>
        <v>1831500000</v>
      </c>
      <c r="O15" s="39"/>
    </row>
    <row r="16" spans="1:19" ht="180" collapsed="1" x14ac:dyDescent="0.25">
      <c r="A16" s="9">
        <v>4</v>
      </c>
      <c r="B16" s="38" t="s">
        <v>998</v>
      </c>
      <c r="C16" s="38" t="s">
        <v>829</v>
      </c>
      <c r="D16" s="38" t="s">
        <v>830</v>
      </c>
      <c r="E16" s="39"/>
      <c r="F16" s="39">
        <f>+F22-F21</f>
        <v>85359880.027798653</v>
      </c>
      <c r="G16" s="39">
        <f t="shared" ref="G16:L16" si="13">+G22-G21</f>
        <v>333169618.994349</v>
      </c>
      <c r="H16" s="39">
        <f>+H22-H21</f>
        <v>805794230.10830545</v>
      </c>
      <c r="I16" s="39">
        <f t="shared" si="13"/>
        <v>1715720848.6796417</v>
      </c>
      <c r="J16" s="39">
        <f>+J22-J21</f>
        <v>3473390965.6341224</v>
      </c>
      <c r="K16" s="39">
        <f>+K22-K21</f>
        <v>6874788991.3846169</v>
      </c>
      <c r="L16" s="39">
        <f t="shared" si="13"/>
        <v>13464085789.592947</v>
      </c>
      <c r="N16" s="26"/>
      <c r="O16" s="39">
        <f t="shared" ref="O16:S16" si="14">+O22-O21</f>
        <v>13063120097.918285</v>
      </c>
      <c r="P16" s="39">
        <f t="shared" si="14"/>
        <v>12674095319.901825</v>
      </c>
      <c r="Q16" s="39">
        <f t="shared" si="14"/>
        <v>12296655850.508137</v>
      </c>
      <c r="R16" s="39">
        <f t="shared" si="14"/>
        <v>11930456674.757538</v>
      </c>
      <c r="S16" s="39">
        <f t="shared" si="14"/>
        <v>11575163052.350117</v>
      </c>
    </row>
    <row r="17" spans="1:19" ht="30" hidden="1" outlineLevel="1" x14ac:dyDescent="0.25">
      <c r="A17" s="489" t="s">
        <v>184</v>
      </c>
      <c r="B17" s="489"/>
      <c r="C17" s="38"/>
      <c r="D17" s="11" t="s">
        <v>831</v>
      </c>
      <c r="E17" s="39">
        <v>20014966.420000002</v>
      </c>
    </row>
    <row r="18" spans="1:19" ht="30" hidden="1" outlineLevel="1" x14ac:dyDescent="0.25">
      <c r="A18" s="489"/>
      <c r="B18" s="489"/>
      <c r="C18" s="38"/>
      <c r="D18" s="11" t="s">
        <v>832</v>
      </c>
      <c r="E18" s="43">
        <f>+'StG 1'!U117</f>
        <v>7.0000000000000007E-2</v>
      </c>
      <c r="F18" s="43">
        <f>+'StG 1'!W117</f>
        <v>6.8236840961174383E-2</v>
      </c>
      <c r="G18" s="43">
        <f>+'StG 1'!X117</f>
        <v>6.6584097520429306E-2</v>
      </c>
      <c r="H18" s="43">
        <f>+'StG 1'!Y117</f>
        <v>6.441533506071645E-2</v>
      </c>
      <c r="I18" s="43">
        <f>+'StG 1'!Z117</f>
        <v>6.234319631988277E-2</v>
      </c>
      <c r="J18" s="43">
        <f>+'StG 1'!AA117</f>
        <v>6.0361629527363E-2</v>
      </c>
      <c r="K18" s="43">
        <f>+'StG 1'!AB117</f>
        <v>5.8465091823890335E-2</v>
      </c>
      <c r="L18" s="43">
        <f>+'StG 1'!AC117</f>
        <v>5.6648496275746633E-2</v>
      </c>
      <c r="O18" s="20">
        <f>L18*(1+_xlfn.RRI(7,$E$18,$L$18))</f>
        <v>5.4961482107351245E-2</v>
      </c>
      <c r="P18" s="20">
        <f>O18*(1+_xlfn.RRI(7,$E$18,$L$18))</f>
        <v>5.3324707874549439E-2</v>
      </c>
      <c r="Q18" s="20">
        <f t="shared" ref="Q18:S18" si="15">P18*(1+_xlfn.RRI(7,$E$18,$L$18))</f>
        <v>5.1736677412593024E-2</v>
      </c>
      <c r="R18" s="20">
        <f t="shared" si="15"/>
        <v>5.0195939113099733E-2</v>
      </c>
      <c r="S18" s="20">
        <f t="shared" si="15"/>
        <v>4.8701084597147351E-2</v>
      </c>
    </row>
    <row r="19" spans="1:19" ht="30" hidden="1" outlineLevel="1" x14ac:dyDescent="0.25">
      <c r="A19" s="489"/>
      <c r="B19" s="489"/>
      <c r="C19" s="38"/>
      <c r="D19" s="11" t="s">
        <v>833</v>
      </c>
      <c r="E19" s="39">
        <f>+$E$17*E18</f>
        <v>1401047.6494000002</v>
      </c>
      <c r="F19" s="39">
        <f>+$E$17*F18</f>
        <v>1365758.080444786</v>
      </c>
      <c r="G19" s="39">
        <f>+$E$17*G18</f>
        <v>1332678.475977398</v>
      </c>
      <c r="H19" s="39">
        <f>+$E$17*H18</f>
        <v>1289270.7681732886</v>
      </c>
      <c r="I19" s="39">
        <f>+$E$17*I18</f>
        <v>1247796.9808579213</v>
      </c>
      <c r="J19" s="39">
        <f t="shared" ref="J19:K19" si="16">+$E$17*J18</f>
        <v>1208135.988046651</v>
      </c>
      <c r="K19" s="39">
        <f t="shared" si="16"/>
        <v>1170176.8495973817</v>
      </c>
      <c r="L19" s="39">
        <f>+$E$17*L18</f>
        <v>1133817.7507025641</v>
      </c>
      <c r="O19" s="39">
        <f>+$E$17*O18</f>
        <v>1100052.2187720661</v>
      </c>
      <c r="P19" s="39">
        <f t="shared" ref="P19:S19" si="17">+$E$17*P18</f>
        <v>1067292.2374654168</v>
      </c>
      <c r="Q19" s="39">
        <f t="shared" si="17"/>
        <v>1035507.8610954219</v>
      </c>
      <c r="R19" s="39">
        <f t="shared" si="17"/>
        <v>1004670.0357690558</v>
      </c>
      <c r="S19" s="39">
        <f t="shared" si="17"/>
        <v>974750.57282948354</v>
      </c>
    </row>
    <row r="20" spans="1:19" hidden="1" outlineLevel="1" x14ac:dyDescent="0.25">
      <c r="A20" s="489"/>
      <c r="B20" s="489"/>
      <c r="C20" s="38"/>
      <c r="D20" s="41" t="s">
        <v>826</v>
      </c>
      <c r="E20" s="42">
        <v>50000</v>
      </c>
      <c r="F20" s="42">
        <v>50000</v>
      </c>
      <c r="G20" s="42">
        <v>50000</v>
      </c>
      <c r="H20" s="42">
        <v>50000</v>
      </c>
      <c r="I20" s="42">
        <v>50000</v>
      </c>
      <c r="J20" s="42">
        <v>50000</v>
      </c>
      <c r="K20" s="42">
        <v>50000</v>
      </c>
      <c r="L20" s="42">
        <v>50000</v>
      </c>
      <c r="O20" s="42">
        <v>50000</v>
      </c>
      <c r="P20" s="42">
        <v>50000</v>
      </c>
      <c r="Q20" s="42">
        <v>50000</v>
      </c>
      <c r="R20" s="42">
        <v>50000</v>
      </c>
      <c r="S20" s="42">
        <v>50000</v>
      </c>
    </row>
    <row r="21" spans="1:19" hidden="1" outlineLevel="1" x14ac:dyDescent="0.25">
      <c r="A21" s="489"/>
      <c r="B21" s="489"/>
      <c r="C21" s="38"/>
      <c r="D21" s="11" t="s">
        <v>827</v>
      </c>
      <c r="E21" s="39">
        <f>+$E$17*E20*0.25%</f>
        <v>2501870802.5000005</v>
      </c>
      <c r="F21" s="39">
        <f>+$E$17*F20*0.25%</f>
        <v>2501870802.5000005</v>
      </c>
      <c r="G21" s="39">
        <f>+$E$17*G20*0.25%</f>
        <v>2501870802.5000005</v>
      </c>
      <c r="H21" s="39">
        <f>+$E$17*H20*0.25%</f>
        <v>2501870802.5000005</v>
      </c>
      <c r="I21" s="39">
        <f t="shared" ref="I21:L21" si="18">+$E$17*I20*0.25%</f>
        <v>2501870802.5000005</v>
      </c>
      <c r="J21" s="39">
        <f t="shared" si="18"/>
        <v>2501870802.5000005</v>
      </c>
      <c r="K21" s="39">
        <f>+$E$17*K20*0.25%</f>
        <v>2501870802.5000005</v>
      </c>
      <c r="L21" s="39">
        <f t="shared" si="18"/>
        <v>2501870802.5000005</v>
      </c>
      <c r="O21" s="39">
        <f t="shared" ref="O21:S21" si="19">+$E$17*O20*0.25%</f>
        <v>2501870802.5000005</v>
      </c>
      <c r="P21" s="39">
        <f t="shared" si="19"/>
        <v>2501870802.5000005</v>
      </c>
      <c r="Q21" s="39">
        <f t="shared" si="19"/>
        <v>2501870802.5000005</v>
      </c>
      <c r="R21" s="39">
        <f t="shared" si="19"/>
        <v>2501870802.5000005</v>
      </c>
      <c r="S21" s="39">
        <f t="shared" si="19"/>
        <v>2501870802.5000005</v>
      </c>
    </row>
    <row r="22" spans="1:19" hidden="1" outlineLevel="1" x14ac:dyDescent="0.25">
      <c r="A22" s="489"/>
      <c r="B22" s="489"/>
      <c r="C22" s="38"/>
      <c r="D22" s="11" t="s">
        <v>828</v>
      </c>
      <c r="F22" s="39">
        <f>+(F19*F20*0.25%*1.5)+(($E$17-F19)*F20*0.25%)</f>
        <v>2587230682.5277991</v>
      </c>
      <c r="G22" s="39">
        <f>+(G19*G20*0.25%*1.5*2)+(($E$17-G19)*G20*0.25%)</f>
        <v>2835040421.4943495</v>
      </c>
      <c r="H22" s="39">
        <f>+(H19*H20*0.25%*1.5*2*2)+(($E$17-H19)*H20*0.25%)</f>
        <v>3307665032.6083059</v>
      </c>
      <c r="I22" s="39">
        <f>+(I19*I20*0.25%*1.5*2*2*2)+(($E$17-I19)*I20*0.25%)</f>
        <v>4217591651.1796422</v>
      </c>
      <c r="J22" s="39">
        <f>+(J19*J20*0.25%*1.5*2*2*2*2)+(($E$17-J19)*J20*0.25%)</f>
        <v>5975261768.1341228</v>
      </c>
      <c r="K22" s="39">
        <f>+(K19*K20*0.25%*1.5*2*2*2*2*2)+(($E$17-K19)*K20*0.25%)</f>
        <v>9376659793.8846169</v>
      </c>
      <c r="L22" s="39">
        <f>+(L19*L20*0.25%*1.5*2*2*2*2*2*2)+(($E$17-L19)*L20*0.25%)</f>
        <v>15965956592.092947</v>
      </c>
      <c r="O22" s="39">
        <f>+(O19*O20*0.25%*1.5*2*2*2*2*2*2)+(($E$17-O19)*O20*0.25%)</f>
        <v>15564990900.418285</v>
      </c>
      <c r="P22" s="39">
        <f t="shared" ref="P22:S22" si="20">+(P19*P20*0.25%*1.5*2*2*2*2*2*2)+(($E$17-P19)*P20*0.25%)</f>
        <v>15175966122.401825</v>
      </c>
      <c r="Q22" s="39">
        <f t="shared" si="20"/>
        <v>14798526653.008137</v>
      </c>
      <c r="R22" s="39">
        <f t="shared" si="20"/>
        <v>14432327477.257538</v>
      </c>
      <c r="S22" s="39">
        <f t="shared" si="20"/>
        <v>14077033854.850117</v>
      </c>
    </row>
    <row r="23" spans="1:19" ht="135.75" customHeight="1" collapsed="1" x14ac:dyDescent="0.25">
      <c r="A23" s="9">
        <v>5</v>
      </c>
      <c r="B23" s="38" t="s">
        <v>999</v>
      </c>
      <c r="C23" s="38" t="s">
        <v>834</v>
      </c>
      <c r="D23" s="38" t="s">
        <v>835</v>
      </c>
      <c r="E23" s="39">
        <f t="shared" ref="E23:L23" si="21">E24*E25*20%*12</f>
        <v>0</v>
      </c>
      <c r="F23" s="39">
        <f t="shared" si="21"/>
        <v>0</v>
      </c>
      <c r="G23" s="39">
        <f t="shared" si="21"/>
        <v>587014052.74497199</v>
      </c>
      <c r="H23" s="39">
        <f t="shared" si="21"/>
        <v>5259645912.5949488</v>
      </c>
      <c r="I23" s="39">
        <f t="shared" si="21"/>
        <v>15463358983.029152</v>
      </c>
      <c r="J23" s="39">
        <f t="shared" si="21"/>
        <v>39586198996.554634</v>
      </c>
      <c r="K23" s="39">
        <f t="shared" si="21"/>
        <v>66504814314.211784</v>
      </c>
      <c r="L23" s="39">
        <f t="shared" si="21"/>
        <v>124142320053.19534</v>
      </c>
      <c r="O23" s="39">
        <f t="shared" ref="O23:S23" si="22">O24*O25*20%*12</f>
        <v>129108012855.32318</v>
      </c>
      <c r="P23" s="39">
        <f t="shared" si="22"/>
        <v>134272333369.5361</v>
      </c>
      <c r="Q23" s="39">
        <f t="shared" si="22"/>
        <v>139643226704.31754</v>
      </c>
      <c r="R23" s="39">
        <f t="shared" si="22"/>
        <v>145228955772.49026</v>
      </c>
      <c r="S23" s="39">
        <f t="shared" si="22"/>
        <v>151038114003.38989</v>
      </c>
    </row>
    <row r="24" spans="1:19" ht="30" hidden="1" outlineLevel="1" x14ac:dyDescent="0.25">
      <c r="A24" s="489" t="s">
        <v>184</v>
      </c>
      <c r="B24" s="489"/>
      <c r="C24" s="38"/>
      <c r="D24" s="11" t="s">
        <v>139</v>
      </c>
      <c r="E24" s="39">
        <f>+'StG 1'!U120</f>
        <v>0</v>
      </c>
      <c r="F24" s="39">
        <f>+'StG 1'!W120</f>
        <v>0</v>
      </c>
      <c r="G24" s="39">
        <f>+'StG 1'!X120</f>
        <v>750</v>
      </c>
      <c r="H24" s="39">
        <f>+'StG 1'!Y120</f>
        <v>6000</v>
      </c>
      <c r="I24" s="39">
        <f>+'StG 1'!Z120</f>
        <v>15750</v>
      </c>
      <c r="J24" s="39">
        <f>+'StG 1'!AA120</f>
        <v>36000</v>
      </c>
      <c r="K24" s="39">
        <f>+'StG 1'!AB120</f>
        <v>54000</v>
      </c>
      <c r="L24" s="39">
        <f>+'StG 1'!AC120</f>
        <v>90000</v>
      </c>
      <c r="O24" s="26">
        <f>L24</f>
        <v>90000</v>
      </c>
      <c r="P24" s="26">
        <f>O24</f>
        <v>90000</v>
      </c>
      <c r="Q24" s="26">
        <f t="shared" ref="Q24:S24" si="23">P24</f>
        <v>90000</v>
      </c>
      <c r="R24" s="26">
        <f t="shared" si="23"/>
        <v>90000</v>
      </c>
      <c r="S24" s="26">
        <f t="shared" si="23"/>
        <v>90000</v>
      </c>
    </row>
    <row r="25" spans="1:19" ht="30" hidden="1" outlineLevel="1" x14ac:dyDescent="0.25">
      <c r="A25" s="489"/>
      <c r="B25" s="489"/>
      <c r="C25" s="38"/>
      <c r="D25" s="11" t="s">
        <v>836</v>
      </c>
      <c r="E25" s="39">
        <v>0</v>
      </c>
      <c r="F25" s="39">
        <v>0</v>
      </c>
      <c r="G25" s="39">
        <f>+'StG 1'!X121*1000</f>
        <v>326118.91819165106</v>
      </c>
      <c r="H25" s="39">
        <f>+'StG 1'!Y121*1000</f>
        <v>365253.18837464921</v>
      </c>
      <c r="I25" s="39">
        <f>+'StG 1'!Z121*1000</f>
        <v>409083.57097960718</v>
      </c>
      <c r="J25" s="39">
        <f>+'StG 1'!AA121*1000</f>
        <v>458173.59949716006</v>
      </c>
      <c r="K25" s="39">
        <f>+'StG 1'!AB121*1000</f>
        <v>513154.43143681932</v>
      </c>
      <c r="L25" s="39">
        <f>+'StG 1'!AC121*1000</f>
        <v>574732.96320923767</v>
      </c>
      <c r="O25" s="54">
        <f>L25*1.04</f>
        <v>597722.28173760721</v>
      </c>
      <c r="P25" s="15">
        <f>O25*1.04</f>
        <v>621631.17300711153</v>
      </c>
      <c r="Q25" s="15">
        <f t="shared" ref="Q25:S25" si="24">P25*1.04</f>
        <v>646496.419927396</v>
      </c>
      <c r="R25" s="15">
        <f t="shared" si="24"/>
        <v>672356.27672449185</v>
      </c>
      <c r="S25" s="15">
        <f t="shared" si="24"/>
        <v>699250.52779347159</v>
      </c>
    </row>
    <row r="26" spans="1:19" ht="150" collapsed="1" x14ac:dyDescent="0.25">
      <c r="A26" s="9">
        <v>6</v>
      </c>
      <c r="B26" s="38" t="s">
        <v>45</v>
      </c>
      <c r="C26" s="38" t="s">
        <v>837</v>
      </c>
      <c r="D26" s="38" t="s">
        <v>838</v>
      </c>
      <c r="E26" s="39">
        <f>+E37-E36</f>
        <v>2740603650.2767334</v>
      </c>
      <c r="F26" s="39">
        <f>+F37-F36</f>
        <v>10602618650.190491</v>
      </c>
      <c r="G26" s="39">
        <f>+G37-G36</f>
        <v>19496116900.574524</v>
      </c>
      <c r="H26" s="39">
        <f>+H37-H36</f>
        <v>29115062851.181641</v>
      </c>
      <c r="I26" s="39">
        <f t="shared" ref="I26:K26" si="25">+I37-I36</f>
        <v>39855636017.557922</v>
      </c>
      <c r="J26" s="39">
        <f t="shared" si="25"/>
        <v>51820134289.118073</v>
      </c>
      <c r="K26" s="39">
        <f t="shared" si="25"/>
        <v>65043921241.128967</v>
      </c>
      <c r="L26" s="39">
        <f>+L37-L36</f>
        <v>79617696354.257599</v>
      </c>
      <c r="O26" s="39">
        <f t="shared" ref="O26:S26" si="26">+O37-O36</f>
        <v>83329406493.976501</v>
      </c>
      <c r="P26" s="39">
        <f t="shared" si="26"/>
        <v>87211761295.459991</v>
      </c>
      <c r="Q26" s="39">
        <f t="shared" si="26"/>
        <v>91272519722.038422</v>
      </c>
      <c r="R26" s="39">
        <f t="shared" si="26"/>
        <v>95519790363.658142</v>
      </c>
      <c r="S26" s="39">
        <f t="shared" si="26"/>
        <v>99962047074.345703</v>
      </c>
    </row>
    <row r="27" spans="1:19" hidden="1" outlineLevel="1" x14ac:dyDescent="0.25">
      <c r="A27" s="489" t="s">
        <v>184</v>
      </c>
      <c r="B27" s="489"/>
      <c r="C27" s="38"/>
      <c r="D27" s="3" t="s">
        <v>839</v>
      </c>
      <c r="E27" s="39">
        <f>+'Strategic level'!M51*1000</f>
        <v>65497.141826717467</v>
      </c>
      <c r="F27" s="39">
        <f>+'Strategic level'!O51*1000</f>
        <v>68874.049120454452</v>
      </c>
      <c r="G27" s="39">
        <f>+'Strategic level'!P51*1000</f>
        <v>71998.72154039942</v>
      </c>
      <c r="H27" s="39">
        <f>+'Strategic level'!Q51*1000</f>
        <v>74904.103325267977</v>
      </c>
      <c r="I27" s="39">
        <f>+'Strategic level'!R51*1000</f>
        <v>77591.411776685243</v>
      </c>
      <c r="J27" s="39">
        <f>+'Strategic level'!S51*1000</f>
        <v>80077.015132040964</v>
      </c>
      <c r="K27" s="39">
        <f>+'Strategic level'!T51*1000</f>
        <v>82376.053054873104</v>
      </c>
      <c r="L27" s="39">
        <f>+'Strategic level'!U51*1000</f>
        <v>84502.528849666138</v>
      </c>
      <c r="O27" s="28">
        <f>L27*1.002</f>
        <v>84671.533907365476</v>
      </c>
      <c r="P27" s="28">
        <f>O27*1.002</f>
        <v>84840.876975180203</v>
      </c>
      <c r="Q27" s="28">
        <f t="shared" ref="Q27:S27" si="27">P27*1.002</f>
        <v>85010.558729130556</v>
      </c>
      <c r="R27" s="28">
        <f t="shared" si="27"/>
        <v>85180.579846588822</v>
      </c>
      <c r="S27" s="28">
        <f t="shared" si="27"/>
        <v>85350.941006281995</v>
      </c>
    </row>
    <row r="28" spans="1:19" hidden="1" outlineLevel="1" x14ac:dyDescent="0.25">
      <c r="A28" s="489"/>
      <c r="B28" s="489"/>
      <c r="C28" s="38"/>
      <c r="D28" s="3" t="s">
        <v>840</v>
      </c>
      <c r="E28" s="39">
        <f>+'Strategic level'!M52*1000</f>
        <v>110443.31004238954</v>
      </c>
      <c r="F28" s="39">
        <f>+'Strategic level'!O52*1000</f>
        <v>113720.51755725748</v>
      </c>
      <c r="G28" s="39">
        <f>+'Strategic level'!P52*1000</f>
        <v>116838.02278353513</v>
      </c>
      <c r="H28" s="39">
        <f>+'Strategic level'!Q52*1000</f>
        <v>119818.07447739103</v>
      </c>
      <c r="I28" s="39">
        <f>+'Strategic level'!R52*1000</f>
        <v>122652.19624777425</v>
      </c>
      <c r="J28" s="39">
        <f>+'Strategic level'!S52*1000</f>
        <v>125347.53412594614</v>
      </c>
      <c r="K28" s="39">
        <f>+'Strategic level'!T52*1000</f>
        <v>127910.88420970979</v>
      </c>
      <c r="L28" s="39">
        <f>+'Strategic level'!U52*1000</f>
        <v>130348.70979927473</v>
      </c>
      <c r="O28" s="28">
        <f>L28*1.002</f>
        <v>130609.40721887328</v>
      </c>
      <c r="P28" s="28">
        <f>O28*1.002</f>
        <v>130870.62603331103</v>
      </c>
      <c r="Q28" s="28">
        <f t="shared" ref="Q28:S28" si="28">P28*1.002</f>
        <v>131132.36728537764</v>
      </c>
      <c r="R28" s="28">
        <f t="shared" si="28"/>
        <v>131394.63201994839</v>
      </c>
      <c r="S28" s="28">
        <f t="shared" si="28"/>
        <v>131657.42128398828</v>
      </c>
    </row>
    <row r="29" spans="1:19" ht="30" hidden="1" outlineLevel="1" x14ac:dyDescent="0.25">
      <c r="A29" s="489"/>
      <c r="B29" s="489"/>
      <c r="C29" s="38"/>
      <c r="D29" s="3" t="s">
        <v>937</v>
      </c>
      <c r="E29" s="39">
        <f>+'Strategic level'!M65</f>
        <v>321919.59262187488</v>
      </c>
      <c r="F29" s="39">
        <f>+'Strategic level'!O65</f>
        <v>350371.64398242562</v>
      </c>
      <c r="G29" s="39">
        <f>+'Strategic level'!P65</f>
        <v>381338.35815063678</v>
      </c>
      <c r="H29" s="39">
        <f>+'Strategic level'!Q65</f>
        <v>415041.9872571578</v>
      </c>
      <c r="I29" s="39">
        <f>+'Strategic level'!R65</f>
        <v>451724.42662671878</v>
      </c>
      <c r="J29" s="39">
        <f>+'Strategic level'!S65</f>
        <v>491648.95089230209</v>
      </c>
      <c r="K29" s="39">
        <f>+'Strategic level'!T65</f>
        <v>535102.10355138674</v>
      </c>
      <c r="L29" s="39">
        <f>+'Strategic level'!U65</f>
        <v>582395.7535258563</v>
      </c>
      <c r="O29" s="28">
        <f>L29*1.04</f>
        <v>605691.58366689063</v>
      </c>
      <c r="P29" s="28">
        <f>O29*1.04</f>
        <v>629919.24701356632</v>
      </c>
      <c r="Q29" s="28">
        <f t="shared" ref="Q29:S29" si="29">P29*1.04</f>
        <v>655116.01689410897</v>
      </c>
      <c r="R29" s="28">
        <f t="shared" si="29"/>
        <v>681320.65756987338</v>
      </c>
      <c r="S29" s="28">
        <f t="shared" si="29"/>
        <v>708573.48387266835</v>
      </c>
    </row>
    <row r="30" spans="1:19" hidden="1" outlineLevel="1" x14ac:dyDescent="0.25">
      <c r="A30" s="489"/>
      <c r="B30" s="489"/>
      <c r="C30" s="38"/>
      <c r="D30" s="3" t="s">
        <v>938</v>
      </c>
      <c r="E30" s="39">
        <f>'Strategic level'!M66</f>
        <v>199518.36896440538</v>
      </c>
      <c r="F30" s="39">
        <f>'Strategic level'!O66</f>
        <v>222010.65907401656</v>
      </c>
      <c r="G30" s="39">
        <f>'Strategic level'!P66</f>
        <v>246890.52413411386</v>
      </c>
      <c r="H30" s="39">
        <f>'Strategic level'!Q66</f>
        <v>272523.04861615336</v>
      </c>
      <c r="I30" s="39">
        <f>'Strategic level'!R66</f>
        <v>300572.86669353402</v>
      </c>
      <c r="J30" s="39">
        <f>'Strategic level'!S66</f>
        <v>331240.7353562942</v>
      </c>
      <c r="K30" s="39">
        <f>'Strategic level'!T66</f>
        <v>364444.76039880596</v>
      </c>
      <c r="L30" s="39">
        <f>'Strategic level'!U66</f>
        <v>400324.83735850465</v>
      </c>
      <c r="O30" s="28">
        <f>L30*1.04</f>
        <v>416337.83085284487</v>
      </c>
      <c r="P30" s="28">
        <f>O30*1.04</f>
        <v>432991.34408695868</v>
      </c>
      <c r="Q30" s="28">
        <f t="shared" ref="Q30:S30" si="30">P30*1.04</f>
        <v>450310.99785043707</v>
      </c>
      <c r="R30" s="28">
        <f t="shared" si="30"/>
        <v>468323.43776445457</v>
      </c>
      <c r="S30" s="28">
        <f t="shared" si="30"/>
        <v>487056.37527503277</v>
      </c>
    </row>
    <row r="31" spans="1:19" ht="30" hidden="1" outlineLevel="1" x14ac:dyDescent="0.25">
      <c r="A31" s="489"/>
      <c r="B31" s="489"/>
      <c r="C31" s="38"/>
      <c r="D31" s="3" t="s">
        <v>940</v>
      </c>
      <c r="E31" s="39">
        <f>'Strategic level'!L66*(1+3.7%)</f>
        <v>186537.63399999999</v>
      </c>
      <c r="F31" s="39">
        <f>E31*(1+3.7%)</f>
        <v>193439.52645799998</v>
      </c>
      <c r="G31" s="39">
        <f t="shared" ref="G31:L31" si="31">F31*(1+3.7%)</f>
        <v>200596.78893694596</v>
      </c>
      <c r="H31" s="39">
        <f t="shared" si="31"/>
        <v>208018.87012761296</v>
      </c>
      <c r="I31" s="39">
        <f t="shared" si="31"/>
        <v>215715.56832233461</v>
      </c>
      <c r="J31" s="39">
        <f t="shared" si="31"/>
        <v>223697.04435026099</v>
      </c>
      <c r="K31" s="39">
        <f t="shared" si="31"/>
        <v>231973.83499122062</v>
      </c>
      <c r="L31" s="39">
        <f t="shared" si="31"/>
        <v>240556.86688589575</v>
      </c>
      <c r="O31" s="28">
        <f>L31*1.04</f>
        <v>250179.14156133161</v>
      </c>
      <c r="P31" s="28">
        <f>O31*1.04</f>
        <v>260186.30722378488</v>
      </c>
      <c r="Q31" s="28">
        <f t="shared" ref="Q31:S31" si="32">P31*1.04</f>
        <v>270593.75951273629</v>
      </c>
      <c r="R31" s="28">
        <f t="shared" si="32"/>
        <v>281417.50989324576</v>
      </c>
      <c r="S31" s="28">
        <f t="shared" si="32"/>
        <v>292674.21028897562</v>
      </c>
    </row>
    <row r="32" spans="1:19" ht="30" hidden="1" outlineLevel="1" x14ac:dyDescent="0.25">
      <c r="A32" s="489"/>
      <c r="B32" s="489"/>
      <c r="C32" s="38"/>
      <c r="D32" s="3" t="s">
        <v>942</v>
      </c>
      <c r="E32" s="39">
        <f>AVERAGE(E31,E29)</f>
        <v>254228.61331093742</v>
      </c>
      <c r="F32" s="39">
        <f t="shared" ref="F32:L32" si="33">AVERAGE(F31,F29)</f>
        <v>271905.58522021282</v>
      </c>
      <c r="G32" s="39">
        <f t="shared" si="33"/>
        <v>290967.57354379137</v>
      </c>
      <c r="H32" s="39">
        <f t="shared" si="33"/>
        <v>311530.42869238538</v>
      </c>
      <c r="I32" s="39">
        <f t="shared" si="33"/>
        <v>333719.9974745267</v>
      </c>
      <c r="J32" s="39">
        <f t="shared" si="33"/>
        <v>357672.99762128154</v>
      </c>
      <c r="K32" s="39">
        <f t="shared" si="33"/>
        <v>383537.96927130368</v>
      </c>
      <c r="L32" s="39">
        <f t="shared" si="33"/>
        <v>411476.31020587601</v>
      </c>
      <c r="O32" s="28">
        <f>L32*1.04</f>
        <v>427935.36261411104</v>
      </c>
      <c r="P32" s="28">
        <f>O32*1.04</f>
        <v>445052.77711867553</v>
      </c>
      <c r="Q32" s="28">
        <f t="shared" ref="Q32:S32" si="34">P32*1.04</f>
        <v>462854.88820342254</v>
      </c>
      <c r="R32" s="28">
        <f t="shared" si="34"/>
        <v>481369.08373155945</v>
      </c>
      <c r="S32" s="28">
        <f t="shared" si="34"/>
        <v>500623.84708082187</v>
      </c>
    </row>
    <row r="33" spans="1:20" hidden="1" outlineLevel="1" x14ac:dyDescent="0.25">
      <c r="A33" s="489"/>
      <c r="B33" s="489"/>
      <c r="C33" s="38"/>
      <c r="D33" s="3" t="s">
        <v>939</v>
      </c>
      <c r="E33" s="39">
        <f>+AVERAGE(E29:E30)</f>
        <v>260718.98079314013</v>
      </c>
      <c r="F33" s="39">
        <f>+AVERAGE(F29:F30)</f>
        <v>286191.15152822109</v>
      </c>
      <c r="G33" s="39">
        <f t="shared" ref="G33:L33" si="35">+AVERAGE(G29:G30)</f>
        <v>314114.44114237535</v>
      </c>
      <c r="H33" s="39">
        <f t="shared" si="35"/>
        <v>343782.51793665555</v>
      </c>
      <c r="I33" s="39">
        <f t="shared" si="35"/>
        <v>376148.6466601264</v>
      </c>
      <c r="J33" s="39">
        <f t="shared" si="35"/>
        <v>411444.84312429815</v>
      </c>
      <c r="K33" s="39">
        <f t="shared" si="35"/>
        <v>449773.43197509635</v>
      </c>
      <c r="L33" s="39">
        <f t="shared" si="35"/>
        <v>491360.29544218048</v>
      </c>
      <c r="O33" s="28">
        <f>+AVERAGE(O29:O30)</f>
        <v>511014.70725986775</v>
      </c>
      <c r="P33" s="28">
        <f t="shared" ref="P33:S33" si="36">+AVERAGE(P29:P30)</f>
        <v>531455.29555026256</v>
      </c>
      <c r="Q33" s="28">
        <f t="shared" si="36"/>
        <v>552713.50737227302</v>
      </c>
      <c r="R33" s="28">
        <f t="shared" si="36"/>
        <v>574822.04766716401</v>
      </c>
      <c r="S33" s="28">
        <f t="shared" si="36"/>
        <v>597814.92957385059</v>
      </c>
    </row>
    <row r="34" spans="1:20" hidden="1" outlineLevel="1" x14ac:dyDescent="0.25">
      <c r="A34" s="489"/>
      <c r="B34" s="489"/>
      <c r="C34" s="38"/>
      <c r="D34" s="3" t="s">
        <v>941</v>
      </c>
      <c r="E34" s="39">
        <f>E32*20%</f>
        <v>50845.722662187487</v>
      </c>
      <c r="F34" s="39">
        <f t="shared" ref="F34:L34" si="37">F32*20%</f>
        <v>54381.117044042563</v>
      </c>
      <c r="G34" s="39">
        <f t="shared" si="37"/>
        <v>58193.514708758274</v>
      </c>
      <c r="H34" s="39">
        <f t="shared" si="37"/>
        <v>62306.085738477079</v>
      </c>
      <c r="I34" s="39">
        <f t="shared" si="37"/>
        <v>66743.999494905336</v>
      </c>
      <c r="J34" s="39">
        <f t="shared" si="37"/>
        <v>71534.599524256308</v>
      </c>
      <c r="K34" s="39">
        <f t="shared" si="37"/>
        <v>76707.593854260733</v>
      </c>
      <c r="L34" s="39">
        <f t="shared" si="37"/>
        <v>82295.262041175214</v>
      </c>
      <c r="O34" s="28">
        <f t="shared" ref="O34:S34" si="38">O32*20%</f>
        <v>85587.072522822215</v>
      </c>
      <c r="P34" s="28">
        <f t="shared" si="38"/>
        <v>89010.555423735117</v>
      </c>
      <c r="Q34" s="28">
        <f t="shared" si="38"/>
        <v>92570.977640684519</v>
      </c>
      <c r="R34" s="28">
        <f t="shared" si="38"/>
        <v>96273.816746311903</v>
      </c>
      <c r="S34" s="28">
        <f t="shared" si="38"/>
        <v>100124.76941616437</v>
      </c>
    </row>
    <row r="35" spans="1:20" hidden="1" outlineLevel="1" x14ac:dyDescent="0.25">
      <c r="A35" s="489"/>
      <c r="B35" s="489"/>
      <c r="C35" s="38"/>
      <c r="D35" s="3" t="s">
        <v>841</v>
      </c>
      <c r="E35" s="39">
        <f>E33*20%</f>
        <v>52143.796158628029</v>
      </c>
      <c r="F35" s="39">
        <f t="shared" ref="F35:L35" si="39">F33*20%</f>
        <v>57238.230305644218</v>
      </c>
      <c r="G35" s="39">
        <f t="shared" si="39"/>
        <v>62822.888228475073</v>
      </c>
      <c r="H35" s="39">
        <f t="shared" si="39"/>
        <v>68756.503587331114</v>
      </c>
      <c r="I35" s="39">
        <f t="shared" si="39"/>
        <v>75229.729332025279</v>
      </c>
      <c r="J35" s="39">
        <f t="shared" si="39"/>
        <v>82288.968624859641</v>
      </c>
      <c r="K35" s="39">
        <f t="shared" si="39"/>
        <v>89954.686395019278</v>
      </c>
      <c r="L35" s="39">
        <f t="shared" si="39"/>
        <v>98272.059088436101</v>
      </c>
      <c r="O35" s="28">
        <f t="shared" ref="O35:S35" si="40">O33*20%</f>
        <v>102202.94145197356</v>
      </c>
      <c r="P35" s="28">
        <f t="shared" si="40"/>
        <v>106291.05911005252</v>
      </c>
      <c r="Q35" s="28">
        <f t="shared" si="40"/>
        <v>110542.7014744546</v>
      </c>
      <c r="R35" s="28">
        <f t="shared" si="40"/>
        <v>114964.4095334328</v>
      </c>
      <c r="S35" s="28">
        <f t="shared" si="40"/>
        <v>119562.98591477012</v>
      </c>
    </row>
    <row r="36" spans="1:20" hidden="1" outlineLevel="1" x14ac:dyDescent="0.25">
      <c r="A36" s="489"/>
      <c r="B36" s="489"/>
      <c r="C36" s="38"/>
      <c r="D36" s="3" t="s">
        <v>842</v>
      </c>
      <c r="E36" s="39">
        <f>+($E$27+$E$28)*E34*12</f>
        <v>107349833049.55872</v>
      </c>
      <c r="F36" s="39">
        <f t="shared" ref="F36:L36" si="41">+($E$27+$E$28)*F34*12</f>
        <v>114814059670.50774</v>
      </c>
      <c r="G36" s="39">
        <f t="shared" si="41"/>
        <v>122863119284.52545</v>
      </c>
      <c r="H36" s="39">
        <f t="shared" si="41"/>
        <v>131545930548.27576</v>
      </c>
      <c r="I36" s="39">
        <f t="shared" si="41"/>
        <v>140915633168.22113</v>
      </c>
      <c r="J36" s="39">
        <f t="shared" si="41"/>
        <v>151029957174.87915</v>
      </c>
      <c r="K36" s="39">
        <f t="shared" si="41"/>
        <v>161951624694.12683</v>
      </c>
      <c r="L36" s="39">
        <f t="shared" si="41"/>
        <v>173748787082.53122</v>
      </c>
      <c r="O36" s="39">
        <f t="shared" ref="O36:S36" si="42">+($E$27+$E$28)*O34*12</f>
        <v>180698738565.83246</v>
      </c>
      <c r="P36" s="39">
        <f t="shared" si="42"/>
        <v>187926688108.46579</v>
      </c>
      <c r="Q36" s="39">
        <f t="shared" si="42"/>
        <v>195443755632.80441</v>
      </c>
      <c r="R36" s="39">
        <f t="shared" si="42"/>
        <v>203261505858.11658</v>
      </c>
      <c r="S36" s="39">
        <f t="shared" si="42"/>
        <v>211391966092.44128</v>
      </c>
    </row>
    <row r="37" spans="1:20" hidden="1" outlineLevel="1" x14ac:dyDescent="0.25">
      <c r="A37" s="489"/>
      <c r="B37" s="489"/>
      <c r="C37" s="38"/>
      <c r="D37" s="3" t="s">
        <v>843</v>
      </c>
      <c r="E37" s="39">
        <f>+(E27+E28)*E35*12</f>
        <v>110090436699.83545</v>
      </c>
      <c r="F37" s="39">
        <f>+(F27+F28)*F35*12</f>
        <v>125416678320.69823</v>
      </c>
      <c r="G37" s="39">
        <f>+(G27+G28)*G35*12</f>
        <v>142359236185.09998</v>
      </c>
      <c r="H37" s="39">
        <f t="shared" ref="H37:L37" si="43">+(H27+H28)*H35*12</f>
        <v>160660993399.4574</v>
      </c>
      <c r="I37" s="39">
        <f>+(I27+I28)*I35*12</f>
        <v>180771269185.77905</v>
      </c>
      <c r="J37" s="39">
        <f t="shared" si="43"/>
        <v>202850091463.99722</v>
      </c>
      <c r="K37" s="39">
        <f t="shared" si="43"/>
        <v>226995545935.2558</v>
      </c>
      <c r="L37" s="39">
        <f t="shared" si="43"/>
        <v>253366483436.78882</v>
      </c>
      <c r="O37" s="39">
        <f t="shared" ref="O37:S37" si="44">+(O27+O28)*O35*12</f>
        <v>264028145059.80896</v>
      </c>
      <c r="P37" s="39">
        <f t="shared" si="44"/>
        <v>275138449403.92578</v>
      </c>
      <c r="Q37" s="39">
        <f t="shared" si="44"/>
        <v>286716275354.84283</v>
      </c>
      <c r="R37" s="39">
        <f t="shared" si="44"/>
        <v>298781296221.77472</v>
      </c>
      <c r="S37" s="39">
        <f t="shared" si="44"/>
        <v>311354013166.78699</v>
      </c>
    </row>
    <row r="38" spans="1:20" ht="150" collapsed="1" x14ac:dyDescent="0.25">
      <c r="A38" s="9">
        <v>7</v>
      </c>
      <c r="B38" s="38" t="s">
        <v>46</v>
      </c>
      <c r="C38" s="38" t="s">
        <v>844</v>
      </c>
      <c r="D38" s="38" t="s">
        <v>845</v>
      </c>
      <c r="E38" s="39">
        <f>+E46-E45</f>
        <v>0</v>
      </c>
      <c r="F38" s="39">
        <f>+F46-F45</f>
        <v>3696643713.8440628</v>
      </c>
      <c r="G38" s="39">
        <f>+G46-G45</f>
        <v>8019115558.1008759</v>
      </c>
      <c r="H38" s="39">
        <f>+H46-H45</f>
        <v>10070069658.180855</v>
      </c>
      <c r="I38" s="39">
        <f t="shared" ref="I38:K38" si="45">+I46-I45</f>
        <v>12307295041.391068</v>
      </c>
      <c r="J38" s="39">
        <f>+J46-J45</f>
        <v>14744629783.088638</v>
      </c>
      <c r="K38" s="39">
        <f t="shared" si="45"/>
        <v>17396861046.852615</v>
      </c>
      <c r="L38" s="39">
        <f>+L46-L45</f>
        <v>20279787703.971436</v>
      </c>
      <c r="O38" s="39">
        <f t="shared" ref="O38:S38" si="46">+O46-O45</f>
        <v>21281941837.976578</v>
      </c>
      <c r="P38" s="39">
        <f t="shared" si="46"/>
        <v>22332217844.637558</v>
      </c>
      <c r="Q38" s="39">
        <f t="shared" si="46"/>
        <v>23432878741.423615</v>
      </c>
      <c r="R38" s="39">
        <f t="shared" si="46"/>
        <v>24586292295.541763</v>
      </c>
      <c r="S38" s="39">
        <f t="shared" si="46"/>
        <v>25794935812.684311</v>
      </c>
    </row>
    <row r="39" spans="1:20" hidden="1" outlineLevel="1" x14ac:dyDescent="0.25">
      <c r="A39" s="489" t="s">
        <v>184</v>
      </c>
      <c r="B39" s="489"/>
      <c r="C39" s="38"/>
      <c r="D39" s="4" t="s">
        <v>197</v>
      </c>
      <c r="E39" s="39">
        <f>+'Strategic level'!M57*1000</f>
        <v>59604.61575068182</v>
      </c>
      <c r="F39" s="39">
        <f>+'Strategic level'!O57*1000</f>
        <v>62939.981908132162</v>
      </c>
      <c r="G39" s="39">
        <f>+'Strategic level'!P57*1000</f>
        <v>66550.039284345214</v>
      </c>
      <c r="H39" s="39">
        <f>+'Strategic level'!Q57*1000</f>
        <v>68213.790266453841</v>
      </c>
      <c r="I39" s="39">
        <f>+'Strategic level'!R57*1000</f>
        <v>69919.135023115174</v>
      </c>
      <c r="J39" s="39">
        <f>+'Strategic level'!S57*1000</f>
        <v>71667.113398693051</v>
      </c>
      <c r="K39" s="39">
        <f>+'Strategic level'!T57*1000</f>
        <v>73458.791233660362</v>
      </c>
      <c r="L39" s="39">
        <f>+'Strategic level'!U57*1000</f>
        <v>75295.261014501855</v>
      </c>
      <c r="N39" s="26"/>
      <c r="O39" s="28">
        <f>L39*1.002</f>
        <v>75445.851536530856</v>
      </c>
      <c r="P39" s="28">
        <f>O39*1.002</f>
        <v>75596.743239603922</v>
      </c>
      <c r="Q39" s="28">
        <f t="shared" ref="Q39:S39" si="47">P39*1.002</f>
        <v>75747.936726083135</v>
      </c>
      <c r="R39" s="28">
        <f t="shared" si="47"/>
        <v>75899.432599535299</v>
      </c>
      <c r="S39" s="28">
        <f t="shared" si="47"/>
        <v>76051.231464734374</v>
      </c>
    </row>
    <row r="40" spans="1:20" hidden="1" outlineLevel="1" x14ac:dyDescent="0.25">
      <c r="A40" s="489"/>
      <c r="B40" s="489"/>
      <c r="C40" s="38"/>
      <c r="D40" s="4" t="s">
        <v>198</v>
      </c>
      <c r="E40" s="39">
        <f>+'Strategic level'!M58*1000</f>
        <v>64290.494713563858</v>
      </c>
      <c r="F40" s="39">
        <f>+'Strategic level'!O58*1000</f>
        <v>68917.659494360603</v>
      </c>
      <c r="G40" s="39">
        <f>+'Strategic level'!P58*1000</f>
        <v>74001.858992485912</v>
      </c>
      <c r="H40" s="39">
        <f>+'Strategic level'!Q58*1000</f>
        <v>75851.905467298056</v>
      </c>
      <c r="I40" s="39">
        <f>+'Strategic level'!R58*1000</f>
        <v>77748.203103980501</v>
      </c>
      <c r="J40" s="39">
        <f>+'Strategic level'!S58*1000</f>
        <v>79691.908181580002</v>
      </c>
      <c r="K40" s="39">
        <f>+'Strategic level'!T58*1000</f>
        <v>81684.205886119496</v>
      </c>
      <c r="L40" s="39">
        <f>+'Strategic level'!U58*1000</f>
        <v>83726.311033272475</v>
      </c>
      <c r="N40" s="26"/>
      <c r="O40" s="28">
        <f>L40*1.002</f>
        <v>83893.763655339018</v>
      </c>
      <c r="P40" s="28">
        <f>O40*1.002</f>
        <v>84061.551182649695</v>
      </c>
      <c r="Q40" s="28">
        <f t="shared" ref="Q40:S40" si="48">P40*1.002</f>
        <v>84229.674285014989</v>
      </c>
      <c r="R40" s="28">
        <f t="shared" si="48"/>
        <v>84398.133633585021</v>
      </c>
      <c r="S40" s="28">
        <f t="shared" si="48"/>
        <v>84566.929900852192</v>
      </c>
    </row>
    <row r="41" spans="1:20" ht="30" hidden="1" outlineLevel="1" x14ac:dyDescent="0.25">
      <c r="A41" s="489"/>
      <c r="B41" s="489"/>
      <c r="C41" s="38"/>
      <c r="D41" s="3" t="s">
        <v>846</v>
      </c>
      <c r="E41" s="39">
        <f>+'Strategic level'!M66</f>
        <v>199518.36896440538</v>
      </c>
      <c r="F41" s="39">
        <f>+'Strategic level'!O66</f>
        <v>222010.65907401656</v>
      </c>
      <c r="G41" s="39">
        <f>+'Strategic level'!P66</f>
        <v>246890.52413411386</v>
      </c>
      <c r="H41" s="39">
        <f>+'Strategic level'!Q66</f>
        <v>272523.04861615336</v>
      </c>
      <c r="I41" s="39">
        <f>+'Strategic level'!R66</f>
        <v>300572.86669353402</v>
      </c>
      <c r="J41" s="39">
        <f>+'Strategic level'!S66</f>
        <v>331240.7353562942</v>
      </c>
      <c r="K41" s="39">
        <f>+'Strategic level'!T66</f>
        <v>364444.76039880596</v>
      </c>
      <c r="L41" s="39">
        <f>+'Strategic level'!U66</f>
        <v>400324.83735850465</v>
      </c>
      <c r="O41" s="28">
        <f>L41*1.04</f>
        <v>416337.83085284487</v>
      </c>
      <c r="P41" s="28">
        <f>O41*1.04</f>
        <v>432991.34408695868</v>
      </c>
      <c r="Q41" s="28">
        <f t="shared" ref="Q41:S42" si="49">P41*1.04</f>
        <v>450310.99785043707</v>
      </c>
      <c r="R41" s="28">
        <f t="shared" si="49"/>
        <v>468323.43776445457</v>
      </c>
      <c r="S41" s="28">
        <f t="shared" si="49"/>
        <v>487056.37527503277</v>
      </c>
    </row>
    <row r="42" spans="1:20" ht="30" hidden="1" outlineLevel="1" x14ac:dyDescent="0.25">
      <c r="A42" s="489"/>
      <c r="B42" s="489"/>
      <c r="C42" s="38"/>
      <c r="D42" s="3" t="s">
        <v>847</v>
      </c>
      <c r="E42" s="39">
        <f>E31</f>
        <v>186537.63399999999</v>
      </c>
      <c r="F42" s="39">
        <f t="shared" ref="F42:L42" si="50">F31</f>
        <v>193439.52645799998</v>
      </c>
      <c r="G42" s="39">
        <f t="shared" si="50"/>
        <v>200596.78893694596</v>
      </c>
      <c r="H42" s="39">
        <f t="shared" si="50"/>
        <v>208018.87012761296</v>
      </c>
      <c r="I42" s="39">
        <f t="shared" si="50"/>
        <v>215715.56832233461</v>
      </c>
      <c r="J42" s="39">
        <f t="shared" si="50"/>
        <v>223697.04435026099</v>
      </c>
      <c r="K42" s="39">
        <f t="shared" si="50"/>
        <v>231973.83499122062</v>
      </c>
      <c r="L42" s="39">
        <f t="shared" si="50"/>
        <v>240556.86688589575</v>
      </c>
      <c r="O42" s="28">
        <f>L42*1.04</f>
        <v>250179.14156133161</v>
      </c>
      <c r="P42" s="28">
        <f>O42*1.04</f>
        <v>260186.30722378488</v>
      </c>
      <c r="Q42" s="28">
        <f t="shared" si="49"/>
        <v>270593.75951273629</v>
      </c>
      <c r="R42" s="28">
        <f t="shared" si="49"/>
        <v>281417.50989324576</v>
      </c>
      <c r="S42" s="28">
        <f t="shared" si="49"/>
        <v>292674.21028897562</v>
      </c>
    </row>
    <row r="43" spans="1:20" hidden="1" outlineLevel="1" x14ac:dyDescent="0.25">
      <c r="A43" s="489"/>
      <c r="B43" s="489"/>
      <c r="C43" s="38"/>
      <c r="D43" s="3" t="s">
        <v>848</v>
      </c>
      <c r="E43" s="39">
        <f>E41*20%</f>
        <v>39903.673792881076</v>
      </c>
      <c r="F43" s="39">
        <f t="shared" ref="F43:L43" si="51">F41*20%</f>
        <v>44402.131814803317</v>
      </c>
      <c r="G43" s="39">
        <f t="shared" si="51"/>
        <v>49378.104826822775</v>
      </c>
      <c r="H43" s="39">
        <f t="shared" si="51"/>
        <v>54504.609723230678</v>
      </c>
      <c r="I43" s="39">
        <f t="shared" si="51"/>
        <v>60114.573338706803</v>
      </c>
      <c r="J43" s="39">
        <f t="shared" si="51"/>
        <v>66248.147071258849</v>
      </c>
      <c r="K43" s="39">
        <f t="shared" si="51"/>
        <v>72888.952079761191</v>
      </c>
      <c r="L43" s="39">
        <f t="shared" si="51"/>
        <v>80064.967471700933</v>
      </c>
      <c r="O43" s="28">
        <f t="shared" ref="O43:S43" si="52">O41*20%</f>
        <v>83267.566170568985</v>
      </c>
      <c r="P43" s="28">
        <f t="shared" si="52"/>
        <v>86598.268817391741</v>
      </c>
      <c r="Q43" s="28">
        <f t="shared" si="52"/>
        <v>90062.199570087425</v>
      </c>
      <c r="R43" s="28">
        <f t="shared" si="52"/>
        <v>93664.687552890915</v>
      </c>
      <c r="S43" s="28">
        <f t="shared" si="52"/>
        <v>97411.275055006554</v>
      </c>
    </row>
    <row r="44" spans="1:20" hidden="1" outlineLevel="1" x14ac:dyDescent="0.25">
      <c r="A44" s="489"/>
      <c r="B44" s="489"/>
      <c r="C44" s="38"/>
      <c r="D44" s="3" t="s">
        <v>849</v>
      </c>
      <c r="E44" s="39">
        <f>E42*20%</f>
        <v>37307.5268</v>
      </c>
      <c r="F44" s="39">
        <f t="shared" ref="F44:L44" si="53">F42*20%</f>
        <v>38687.9052916</v>
      </c>
      <c r="G44" s="39">
        <f t="shared" si="53"/>
        <v>40119.357787389192</v>
      </c>
      <c r="H44" s="39">
        <f t="shared" si="53"/>
        <v>41603.774025522594</v>
      </c>
      <c r="I44" s="39">
        <f t="shared" si="53"/>
        <v>43143.113664466924</v>
      </c>
      <c r="J44" s="39">
        <f t="shared" si="53"/>
        <v>44739.408870052197</v>
      </c>
      <c r="K44" s="39">
        <f t="shared" si="53"/>
        <v>46394.766998244129</v>
      </c>
      <c r="L44" s="39">
        <f t="shared" si="53"/>
        <v>48111.373377179152</v>
      </c>
      <c r="O44" s="28">
        <f t="shared" ref="O44:S44" si="54">O42*20%</f>
        <v>50035.828312266327</v>
      </c>
      <c r="P44" s="28">
        <f t="shared" si="54"/>
        <v>52037.261444756979</v>
      </c>
      <c r="Q44" s="28">
        <f t="shared" si="54"/>
        <v>54118.751902547257</v>
      </c>
      <c r="R44" s="28">
        <f t="shared" si="54"/>
        <v>56283.501978649154</v>
      </c>
      <c r="S44" s="28">
        <f t="shared" si="54"/>
        <v>58534.842057795126</v>
      </c>
    </row>
    <row r="45" spans="1:20" hidden="1" outlineLevel="1" x14ac:dyDescent="0.25">
      <c r="A45" s="489"/>
      <c r="B45" s="489"/>
      <c r="C45" s="38"/>
      <c r="D45" s="3" t="s">
        <v>842</v>
      </c>
      <c r="E45" s="39">
        <f>+($E$39+$E$40)*E44*12</f>
        <v>55466641848.40567</v>
      </c>
      <c r="F45" s="39">
        <f t="shared" ref="F45:L45" si="55">+($E$39+$E$40)*F44*12</f>
        <v>57518907596.796684</v>
      </c>
      <c r="G45" s="39">
        <f t="shared" si="55"/>
        <v>59647107177.878151</v>
      </c>
      <c r="H45" s="39">
        <f t="shared" si="55"/>
        <v>61854050143.459648</v>
      </c>
      <c r="I45" s="39">
        <f t="shared" si="55"/>
        <v>64142649998.767639</v>
      </c>
      <c r="J45" s="39">
        <f t="shared" si="55"/>
        <v>66515928048.722046</v>
      </c>
      <c r="K45" s="39">
        <f t="shared" si="55"/>
        <v>68977017386.52475</v>
      </c>
      <c r="L45" s="39">
        <f t="shared" si="55"/>
        <v>71529167029.826157</v>
      </c>
      <c r="O45" s="39">
        <f t="shared" ref="O45:S45" si="56">+($E$39+$E$40)*O44*12</f>
        <v>74390333711.019226</v>
      </c>
      <c r="P45" s="39">
        <f t="shared" si="56"/>
        <v>77365947059.459991</v>
      </c>
      <c r="Q45" s="39">
        <f t="shared" si="56"/>
        <v>80460584941.838379</v>
      </c>
      <c r="R45" s="39">
        <f t="shared" si="56"/>
        <v>83679008339.511917</v>
      </c>
      <c r="S45" s="39">
        <f t="shared" si="56"/>
        <v>87026168673.092407</v>
      </c>
    </row>
    <row r="46" spans="1:20" hidden="1" outlineLevel="1" x14ac:dyDescent="0.25">
      <c r="A46" s="489"/>
      <c r="B46" s="489"/>
      <c r="C46" s="38"/>
      <c r="D46" s="3" t="s">
        <v>843</v>
      </c>
      <c r="E46" s="39">
        <f>(E39+E40)*E44*12</f>
        <v>55466641848.40567</v>
      </c>
      <c r="F46" s="39">
        <f t="shared" ref="F46:L46" si="57">(F39+F40)*F44*12</f>
        <v>61215551310.640747</v>
      </c>
      <c r="G46" s="39">
        <f>(G39+G40)*G44*12</f>
        <v>67666222735.979027</v>
      </c>
      <c r="H46" s="39">
        <f t="shared" si="57"/>
        <v>71924119801.640503</v>
      </c>
      <c r="I46" s="39">
        <f t="shared" si="57"/>
        <v>76449945040.158707</v>
      </c>
      <c r="J46" s="39">
        <f t="shared" si="57"/>
        <v>81260557831.810684</v>
      </c>
      <c r="K46" s="39">
        <f t="shared" si="57"/>
        <v>86373878433.377365</v>
      </c>
      <c r="L46" s="39">
        <f t="shared" si="57"/>
        <v>91808954733.797592</v>
      </c>
      <c r="O46" s="39">
        <f t="shared" ref="O46:S46" si="58">(O39+O40)*O44*12</f>
        <v>95672275548.995804</v>
      </c>
      <c r="P46" s="39">
        <f t="shared" si="58"/>
        <v>99698164904.097549</v>
      </c>
      <c r="Q46" s="39">
        <f t="shared" si="58"/>
        <v>103893463683.26199</v>
      </c>
      <c r="R46" s="39">
        <f t="shared" si="58"/>
        <v>108265300635.05368</v>
      </c>
      <c r="S46" s="39">
        <f t="shared" si="58"/>
        <v>112821104485.77672</v>
      </c>
    </row>
    <row r="47" spans="1:20" ht="90" collapsed="1" x14ac:dyDescent="0.25">
      <c r="A47" s="9">
        <v>8</v>
      </c>
      <c r="B47" s="38" t="s">
        <v>340</v>
      </c>
      <c r="C47" s="38" t="s">
        <v>850</v>
      </c>
      <c r="D47" s="38" t="s">
        <v>851</v>
      </c>
      <c r="E47" s="44">
        <f>-E49*E50*12</f>
        <v>0</v>
      </c>
      <c r="F47" s="44">
        <f>-(F49*F50*12)+E47</f>
        <v>1546212096.0000002</v>
      </c>
      <c r="G47" s="44">
        <f t="shared" ref="G47:J47" si="59">-(G49*G50*12)+F47</f>
        <v>3027320524.8000002</v>
      </c>
      <c r="H47" s="44">
        <f t="shared" si="59"/>
        <v>17682676840.857601</v>
      </c>
      <c r="I47" s="44">
        <f t="shared" si="59"/>
        <v>18323463591.493633</v>
      </c>
      <c r="J47" s="44">
        <f t="shared" si="59"/>
        <v>18942280510.679287</v>
      </c>
      <c r="K47" s="44">
        <f>-(K49*K50*12)+J47</f>
        <v>19536344753.097515</v>
      </c>
      <c r="L47" s="44">
        <f>-(L49*L50*12)+K47</f>
        <v>20138180937.132084</v>
      </c>
      <c r="N47" s="44"/>
      <c r="O47" s="44">
        <f>-(O49*O50*12)+L47</f>
        <v>20719994669.94791</v>
      </c>
      <c r="P47" s="44">
        <f t="shared" ref="P47:S47" si="60">-(P49*P50*12)+O47</f>
        <v>21290195710.380016</v>
      </c>
      <c r="Q47" s="44">
        <f t="shared" si="60"/>
        <v>21849015841.586464</v>
      </c>
      <c r="R47" s="44">
        <f t="shared" si="60"/>
        <v>22396682220.456875</v>
      </c>
      <c r="S47" s="44">
        <f t="shared" si="60"/>
        <v>22933417469.950279</v>
      </c>
    </row>
    <row r="48" spans="1:20" ht="30" hidden="1" outlineLevel="1" x14ac:dyDescent="0.25">
      <c r="A48" s="489" t="s">
        <v>184</v>
      </c>
      <c r="B48" s="489"/>
      <c r="C48" s="38"/>
      <c r="D48" s="3" t="s">
        <v>329</v>
      </c>
      <c r="E48" s="39">
        <f>+'Strategic level'!M73</f>
        <v>68500</v>
      </c>
      <c r="F48" s="39">
        <f>+'Strategic level'!O73</f>
        <v>64500</v>
      </c>
      <c r="G48" s="39">
        <f>+'Strategic level'!P73</f>
        <v>60700</v>
      </c>
      <c r="H48" s="39">
        <f>+'Strategic level'!Q73</f>
        <v>57200</v>
      </c>
      <c r="I48" s="39">
        <f>+'Strategic level'!R73</f>
        <v>23900</v>
      </c>
      <c r="J48" s="39">
        <f>+'Strategic level'!S73</f>
        <v>22500</v>
      </c>
      <c r="K48" s="39">
        <f>+'Strategic level'!T73</f>
        <v>21200</v>
      </c>
      <c r="L48" s="39">
        <f>+'Strategic level'!U73</f>
        <v>20000</v>
      </c>
      <c r="M48" s="45">
        <f>+L48*(1+_xlfn.RRI(4,'Strategic level'!H73,'Strategic level'!L73))</f>
        <v>18831.058467065839</v>
      </c>
      <c r="O48" s="28">
        <f>L48*(1+_xlfn.RRI(3,$I$48,$L$48))</f>
        <v>18846.933314249218</v>
      </c>
      <c r="P48" s="28">
        <f>O48*(1+_xlfn.RRI(3,$I$48,$L$48))</f>
        <v>17760.344767587852</v>
      </c>
      <c r="Q48" s="28">
        <f t="shared" ref="Q48:T48" si="61">P48*(1+_xlfn.RRI(3,$I$48,$L$48))</f>
        <v>16736.401673640165</v>
      </c>
      <c r="R48" s="28">
        <f t="shared" si="61"/>
        <v>15771.49231317926</v>
      </c>
      <c r="S48" s="28">
        <f t="shared" si="61"/>
        <v>14862.213194634183</v>
      </c>
      <c r="T48" s="28">
        <f t="shared" si="61"/>
        <v>14005.357049071265</v>
      </c>
    </row>
    <row r="49" spans="1:19" hidden="1" outlineLevel="1" x14ac:dyDescent="0.25">
      <c r="A49" s="489"/>
      <c r="B49" s="489"/>
      <c r="C49" s="38"/>
      <c r="D49" s="3" t="s">
        <v>852</v>
      </c>
      <c r="E49" s="39">
        <v>0</v>
      </c>
      <c r="F49" s="39">
        <f>+G48-F48</f>
        <v>-3800</v>
      </c>
      <c r="G49" s="39">
        <f t="shared" ref="G49:K49" si="62">+H48-G48</f>
        <v>-3500</v>
      </c>
      <c r="H49" s="39">
        <f t="shared" si="62"/>
        <v>-33300</v>
      </c>
      <c r="I49" s="39">
        <f t="shared" si="62"/>
        <v>-1400</v>
      </c>
      <c r="J49" s="39">
        <f t="shared" si="62"/>
        <v>-1300</v>
      </c>
      <c r="K49" s="39">
        <f t="shared" si="62"/>
        <v>-1200</v>
      </c>
      <c r="L49" s="39">
        <f>+M48-L48</f>
        <v>-1168.9415329341609</v>
      </c>
      <c r="O49" s="39">
        <f>+P48-O48</f>
        <v>-1086.5885466613654</v>
      </c>
      <c r="P49" s="39">
        <f t="shared" ref="P49" si="63">+Q48-P48</f>
        <v>-1023.9430939476879</v>
      </c>
      <c r="Q49" s="39">
        <f t="shared" ref="Q49" si="64">+R48-Q48</f>
        <v>-964.90936046090428</v>
      </c>
      <c r="R49" s="39">
        <f t="shared" ref="R49" si="65">+S48-R48</f>
        <v>-909.27911854507693</v>
      </c>
      <c r="S49" s="39">
        <f t="shared" ref="S49" si="66">+T48-S48</f>
        <v>-856.85614556291875</v>
      </c>
    </row>
    <row r="50" spans="1:19" hidden="1" outlineLevel="1" x14ac:dyDescent="0.25">
      <c r="A50" s="489"/>
      <c r="B50" s="489"/>
      <c r="D50" s="3" t="s">
        <v>188</v>
      </c>
      <c r="E50" s="39">
        <f>+'Strategic level'!M74</f>
        <v>32604</v>
      </c>
      <c r="F50" s="39">
        <f>+'Strategic level'!O74</f>
        <v>33908.160000000003</v>
      </c>
      <c r="G50" s="39">
        <f>+'Strategic level'!P74</f>
        <v>35264.486400000002</v>
      </c>
      <c r="H50" s="39">
        <f>+'Strategic level'!Q74</f>
        <v>36675.065856000001</v>
      </c>
      <c r="I50" s="39">
        <f>+'Strategic level'!R74</f>
        <v>38142.068490240003</v>
      </c>
      <c r="J50" s="39">
        <f>+'Strategic level'!S74</f>
        <v>39667.751229849608</v>
      </c>
      <c r="K50" s="39">
        <f>+'Strategic level'!T74</f>
        <v>41254.461279043593</v>
      </c>
      <c r="L50" s="39">
        <f>+'Strategic level'!U74</f>
        <v>42904.639730205337</v>
      </c>
      <c r="O50" s="28">
        <f>L50*1.04</f>
        <v>44620.825319413554</v>
      </c>
      <c r="P50" s="28">
        <f>O50*1.04</f>
        <v>46405.658332190098</v>
      </c>
      <c r="Q50" s="28">
        <f t="shared" ref="Q50:S50" si="67">P50*1.04</f>
        <v>48261.884665477701</v>
      </c>
      <c r="R50" s="28">
        <f t="shared" si="67"/>
        <v>50192.36005209681</v>
      </c>
      <c r="S50" s="28">
        <f t="shared" si="67"/>
        <v>52200.054454180681</v>
      </c>
    </row>
    <row r="51" spans="1:19" ht="75" collapsed="1" x14ac:dyDescent="0.25">
      <c r="A51" s="9">
        <v>9</v>
      </c>
      <c r="B51" s="38" t="s">
        <v>343</v>
      </c>
      <c r="C51" s="38" t="s">
        <v>853</v>
      </c>
      <c r="D51" s="38" t="s">
        <v>853</v>
      </c>
      <c r="E51" s="38"/>
      <c r="F51" s="39">
        <f>+F52*16.67%</f>
        <v>0</v>
      </c>
      <c r="G51" s="39">
        <f t="shared" ref="G51:K51" si="68">+G52*16.67%</f>
        <v>7001400.0000000009</v>
      </c>
      <c r="H51" s="39">
        <f t="shared" si="68"/>
        <v>21671000.000000004</v>
      </c>
      <c r="I51" s="39">
        <f t="shared" si="68"/>
        <v>22504500.000000004</v>
      </c>
      <c r="J51" s="39">
        <f t="shared" si="68"/>
        <v>39007800</v>
      </c>
      <c r="K51" s="39">
        <f t="shared" si="68"/>
        <v>48676400.000000007</v>
      </c>
      <c r="L51" s="39">
        <f>+L52*16.67%</f>
        <v>50676800.000000007</v>
      </c>
      <c r="O51" s="28">
        <f>L51*1.04</f>
        <v>52703872.000000007</v>
      </c>
      <c r="P51" s="28">
        <f>O51*1.04</f>
        <v>54812026.88000001</v>
      </c>
      <c r="Q51" s="28">
        <f t="shared" ref="Q51:S55" si="69">P51*1.04</f>
        <v>57004507.955200009</v>
      </c>
      <c r="R51" s="28">
        <f t="shared" si="69"/>
        <v>59284688.273408011</v>
      </c>
      <c r="S51" s="28">
        <f t="shared" si="69"/>
        <v>61656075.804344334</v>
      </c>
    </row>
    <row r="52" spans="1:19" hidden="1" outlineLevel="1" x14ac:dyDescent="0.25">
      <c r="A52" s="489" t="s">
        <v>184</v>
      </c>
      <c r="B52" s="489"/>
      <c r="D52" s="3" t="s">
        <v>854</v>
      </c>
      <c r="F52" s="46">
        <f>+'StG 1'!AD12*1000</f>
        <v>0</v>
      </c>
      <c r="G52" s="46">
        <f>+'StG 1'!AE12*1000</f>
        <v>42000000</v>
      </c>
      <c r="H52" s="46">
        <f>+'StG 1'!AF12*1000</f>
        <v>130000000</v>
      </c>
      <c r="I52" s="46">
        <f>+'StG 1'!AG12*1000</f>
        <v>135000000</v>
      </c>
      <c r="J52" s="46">
        <f>+'StG 1'!AH12*1000</f>
        <v>234000000</v>
      </c>
      <c r="K52" s="46">
        <f>+'StG 1'!AI12*1000</f>
        <v>292000000</v>
      </c>
      <c r="L52" s="46">
        <f>+'StG 1'!AJ12*1000</f>
        <v>304000000</v>
      </c>
    </row>
    <row r="53" spans="1:19" ht="105" x14ac:dyDescent="0.25">
      <c r="A53" s="9">
        <v>10</v>
      </c>
      <c r="B53" s="38" t="s">
        <v>344</v>
      </c>
      <c r="C53" s="38" t="s">
        <v>855</v>
      </c>
      <c r="D53" s="38" t="s">
        <v>853</v>
      </c>
      <c r="F53" s="39">
        <f>+F54*16.67%</f>
        <v>0</v>
      </c>
      <c r="G53" s="39">
        <f t="shared" ref="G53:L53" si="70">+G54*16.67%</f>
        <v>135193700</v>
      </c>
      <c r="H53" s="39">
        <f>+H54*16.67%</f>
        <v>151530300</v>
      </c>
      <c r="I53" s="39">
        <f t="shared" si="70"/>
        <v>180036000.00000003</v>
      </c>
      <c r="J53" s="39">
        <f>+J54*16.67%</f>
        <v>210542100.00000003</v>
      </c>
      <c r="K53" s="39">
        <f t="shared" si="70"/>
        <v>243382000.00000003</v>
      </c>
      <c r="L53" s="39">
        <f t="shared" si="70"/>
        <v>291058200</v>
      </c>
      <c r="O53" s="28">
        <f>L53*1.04</f>
        <v>302700528</v>
      </c>
      <c r="P53" s="28">
        <f>O53*1.04</f>
        <v>314808549.12</v>
      </c>
      <c r="Q53" s="28">
        <f t="shared" si="69"/>
        <v>327400891.0848</v>
      </c>
      <c r="R53" s="28">
        <f t="shared" si="69"/>
        <v>340496926.72819203</v>
      </c>
      <c r="S53" s="28">
        <f t="shared" si="69"/>
        <v>354116803.79731971</v>
      </c>
    </row>
    <row r="54" spans="1:19" outlineLevel="1" x14ac:dyDescent="0.25">
      <c r="A54" s="489" t="s">
        <v>184</v>
      </c>
      <c r="B54" s="489"/>
      <c r="D54" s="3" t="s">
        <v>854</v>
      </c>
      <c r="F54" s="44">
        <f>+'StG 1'!AD18*1000</f>
        <v>0</v>
      </c>
      <c r="G54" s="44">
        <f>+'StG 1'!AE18*1000</f>
        <v>811000000</v>
      </c>
      <c r="H54" s="44">
        <f>+'StG 1'!AF18*1000</f>
        <v>909000000</v>
      </c>
      <c r="I54" s="44">
        <f>+'StG 1'!AG18*1000</f>
        <v>1080000000</v>
      </c>
      <c r="J54" s="44">
        <f>+'StG 1'!AH18*1000</f>
        <v>1263000000</v>
      </c>
      <c r="K54" s="44">
        <f>+'StG 1'!AI18*1000</f>
        <v>1460000000</v>
      </c>
      <c r="L54" s="44">
        <f>+'StG 1'!AJ18*1000</f>
        <v>1746000000</v>
      </c>
    </row>
    <row r="55" spans="1:19" ht="90" collapsed="1" x14ac:dyDescent="0.25">
      <c r="A55" s="9">
        <v>11</v>
      </c>
      <c r="B55" s="38" t="s">
        <v>52</v>
      </c>
      <c r="C55" s="38" t="s">
        <v>856</v>
      </c>
      <c r="D55" s="38" t="s">
        <v>857</v>
      </c>
      <c r="E55" s="39"/>
      <c r="F55" s="39"/>
      <c r="G55" s="39">
        <f>+G57+G60</f>
        <v>621875529</v>
      </c>
      <c r="H55" s="39">
        <f t="shared" ref="H55:K55" si="71">+H57+H60</f>
        <v>695270727</v>
      </c>
      <c r="I55" s="39">
        <f t="shared" si="71"/>
        <v>808140639.60000014</v>
      </c>
      <c r="J55" s="39">
        <f t="shared" si="71"/>
        <v>976354498.80000019</v>
      </c>
      <c r="K55" s="39">
        <f t="shared" si="71"/>
        <v>1226493268.2</v>
      </c>
      <c r="L55" s="39">
        <f>+L57+L60</f>
        <v>1601602239.6000004</v>
      </c>
      <c r="O55" s="28">
        <f>L55*1.04</f>
        <v>1665666329.1840005</v>
      </c>
      <c r="P55" s="28">
        <f>O55*1.04</f>
        <v>1732292982.3513606</v>
      </c>
      <c r="Q55" s="28">
        <f t="shared" si="69"/>
        <v>1801584701.6454151</v>
      </c>
      <c r="R55" s="28">
        <f t="shared" si="69"/>
        <v>1873648089.7112317</v>
      </c>
      <c r="S55" s="28">
        <f t="shared" si="69"/>
        <v>1948594013.2996809</v>
      </c>
    </row>
    <row r="56" spans="1:19" hidden="1" outlineLevel="1" x14ac:dyDescent="0.25">
      <c r="A56" s="489" t="s">
        <v>184</v>
      </c>
      <c r="B56" s="489"/>
      <c r="D56" s="3" t="s">
        <v>858</v>
      </c>
      <c r="E56" s="39"/>
      <c r="F56" s="39">
        <f>+'StG 1'!AD23*1000</f>
        <v>0</v>
      </c>
      <c r="G56" s="39">
        <f>+'StG 1'!AE23*1000</f>
        <v>3135000000</v>
      </c>
      <c r="H56" s="39">
        <f>+'StG 1'!AF23*1000</f>
        <v>3505000000</v>
      </c>
      <c r="I56" s="39">
        <f>+'StG 1'!AG23*1000</f>
        <v>4074000000</v>
      </c>
      <c r="J56" s="39">
        <f>+'StG 1'!AH23*1000</f>
        <v>4922000000</v>
      </c>
      <c r="K56" s="39">
        <f>+'StG 1'!AI23*1000</f>
        <v>6183000000</v>
      </c>
      <c r="L56" s="39">
        <f>+'StG 1'!AJ23*1000</f>
        <v>8074000000</v>
      </c>
    </row>
    <row r="57" spans="1:19" hidden="1" outlineLevel="1" x14ac:dyDescent="0.25">
      <c r="A57" s="489"/>
      <c r="B57" s="489"/>
      <c r="D57" s="3" t="s">
        <v>859</v>
      </c>
      <c r="E57" s="39"/>
      <c r="F57" s="39"/>
      <c r="G57" s="39">
        <f>+G56*16.67%</f>
        <v>522604500.00000006</v>
      </c>
      <c r="H57" s="39">
        <f>+H56*16.67%</f>
        <v>584283500</v>
      </c>
      <c r="I57" s="39">
        <f t="shared" ref="I57:L57" si="72">+I56*16.67%</f>
        <v>679135800.00000012</v>
      </c>
      <c r="J57" s="39">
        <f t="shared" si="72"/>
        <v>820497400.00000012</v>
      </c>
      <c r="K57" s="39">
        <f t="shared" si="72"/>
        <v>1030706100.0000001</v>
      </c>
      <c r="L57" s="39">
        <f t="shared" si="72"/>
        <v>1345935800.0000002</v>
      </c>
    </row>
    <row r="58" spans="1:19" hidden="1" outlineLevel="1" x14ac:dyDescent="0.25">
      <c r="A58" s="489"/>
      <c r="B58" s="489"/>
      <c r="D58" s="3" t="s">
        <v>860</v>
      </c>
      <c r="E58" s="39"/>
      <c r="F58" s="39"/>
      <c r="G58" s="39">
        <f>+G56-G57</f>
        <v>2612395500</v>
      </c>
      <c r="H58" s="39">
        <f t="shared" ref="H58:L58" si="73">+H56-H57</f>
        <v>2920716500</v>
      </c>
      <c r="I58" s="39">
        <f t="shared" si="73"/>
        <v>3394864200</v>
      </c>
      <c r="J58" s="39">
        <f t="shared" si="73"/>
        <v>4101502600</v>
      </c>
      <c r="K58" s="39">
        <f t="shared" si="73"/>
        <v>5152293900</v>
      </c>
      <c r="L58" s="39">
        <f t="shared" si="73"/>
        <v>6728064200</v>
      </c>
    </row>
    <row r="59" spans="1:19" ht="30" hidden="1" outlineLevel="1" x14ac:dyDescent="0.25">
      <c r="A59" s="489"/>
      <c r="B59" s="489"/>
      <c r="D59" s="3" t="s">
        <v>861</v>
      </c>
      <c r="E59" s="39"/>
      <c r="F59" s="39"/>
      <c r="G59" s="39">
        <f>+G58*19%</f>
        <v>496355145</v>
      </c>
      <c r="H59" s="39">
        <f>+H58*19%</f>
        <v>554936135</v>
      </c>
      <c r="I59" s="39">
        <f t="shared" ref="I59:K59" si="74">+I58*19%</f>
        <v>645024198</v>
      </c>
      <c r="J59" s="39">
        <f t="shared" si="74"/>
        <v>779285494</v>
      </c>
      <c r="K59" s="39">
        <f t="shared" si="74"/>
        <v>978935841</v>
      </c>
      <c r="L59" s="39">
        <f>+L58*19%</f>
        <v>1278332198</v>
      </c>
    </row>
    <row r="60" spans="1:19" hidden="1" outlineLevel="1" x14ac:dyDescent="0.25">
      <c r="A60" s="489"/>
      <c r="B60" s="489"/>
      <c r="D60" s="3" t="s">
        <v>862</v>
      </c>
      <c r="E60" s="39"/>
      <c r="F60" s="39"/>
      <c r="G60" s="39">
        <f>+G59*20%</f>
        <v>99271029</v>
      </c>
      <c r="H60" s="39">
        <f>+H59*20%</f>
        <v>110987227</v>
      </c>
      <c r="I60" s="39">
        <f t="shared" ref="I60:L60" si="75">+I59*20%</f>
        <v>129004839.60000001</v>
      </c>
      <c r="J60" s="39">
        <f t="shared" si="75"/>
        <v>155857098.80000001</v>
      </c>
      <c r="K60" s="39">
        <f t="shared" si="75"/>
        <v>195787168.20000002</v>
      </c>
      <c r="L60" s="39">
        <f t="shared" si="75"/>
        <v>255666439.60000002</v>
      </c>
    </row>
    <row r="61" spans="1:19" ht="75" collapsed="1" x14ac:dyDescent="0.25">
      <c r="A61" s="9">
        <v>12</v>
      </c>
      <c r="B61" s="38" t="s">
        <v>346</v>
      </c>
      <c r="C61" s="38" t="s">
        <v>863</v>
      </c>
      <c r="D61" s="38" t="s">
        <v>857</v>
      </c>
      <c r="E61" s="39"/>
      <c r="F61" s="39">
        <f>+F63+F66</f>
        <v>0</v>
      </c>
      <c r="G61" s="39">
        <f t="shared" ref="G61:K61" si="76">+G63+G66</f>
        <v>41260003.200000003</v>
      </c>
      <c r="H61" s="39">
        <f t="shared" si="76"/>
        <v>60104716.20000001</v>
      </c>
      <c r="I61" s="39">
        <f>+I63+I66</f>
        <v>62485101.000000007</v>
      </c>
      <c r="J61" s="39">
        <f t="shared" si="76"/>
        <v>83511833.400000006</v>
      </c>
      <c r="K61" s="39">
        <f t="shared" si="76"/>
        <v>96603949.799999997</v>
      </c>
      <c r="L61" s="39">
        <f>+L63+L66</f>
        <v>100372892.40000002</v>
      </c>
      <c r="O61" s="28">
        <f>L61*1.04</f>
        <v>104387808.09600003</v>
      </c>
      <c r="P61" s="28">
        <f>O61*1.04</f>
        <v>108563320.41984004</v>
      </c>
      <c r="Q61" s="28">
        <f t="shared" ref="Q61:S61" si="77">P61*1.04</f>
        <v>112905853.23663364</v>
      </c>
      <c r="R61" s="28">
        <f t="shared" si="77"/>
        <v>117422087.366099</v>
      </c>
      <c r="S61" s="28">
        <f t="shared" si="77"/>
        <v>122118970.86074297</v>
      </c>
    </row>
    <row r="62" spans="1:19" hidden="1" outlineLevel="1" x14ac:dyDescent="0.25">
      <c r="A62" s="489" t="s">
        <v>184</v>
      </c>
      <c r="B62" s="489"/>
      <c r="D62" s="3" t="s">
        <v>858</v>
      </c>
      <c r="F62" s="39">
        <f>+'StG 1'!AD41*1000</f>
        <v>0</v>
      </c>
      <c r="G62" s="39">
        <f>+'StG 1'!AE41*1000</f>
        <v>208000000</v>
      </c>
      <c r="H62" s="39">
        <f>+'StG 1'!AF41*1000</f>
        <v>303000000</v>
      </c>
      <c r="I62" s="39">
        <f>+'StG 1'!AG41*1000</f>
        <v>315000000</v>
      </c>
      <c r="J62" s="39">
        <f>+'StG 1'!AH41*1000</f>
        <v>421000000</v>
      </c>
      <c r="K62" s="39">
        <f>+'StG 1'!AI41*1000</f>
        <v>487000000</v>
      </c>
      <c r="L62" s="39">
        <f>+'StG 1'!AJ41*1000</f>
        <v>506000000</v>
      </c>
    </row>
    <row r="63" spans="1:19" hidden="1" outlineLevel="1" x14ac:dyDescent="0.25">
      <c r="A63" s="489"/>
      <c r="B63" s="489"/>
      <c r="D63" s="3" t="s">
        <v>859</v>
      </c>
      <c r="F63" s="39"/>
      <c r="G63" s="39">
        <f t="shared" ref="G63:L63" si="78">+G62*16.67%</f>
        <v>34673600</v>
      </c>
      <c r="H63" s="39">
        <f t="shared" si="78"/>
        <v>50510100.000000007</v>
      </c>
      <c r="I63" s="39">
        <f t="shared" si="78"/>
        <v>52510500.000000007</v>
      </c>
      <c r="J63" s="39">
        <f>+J62*16.67%</f>
        <v>70180700</v>
      </c>
      <c r="K63" s="39">
        <f t="shared" si="78"/>
        <v>81182900</v>
      </c>
      <c r="L63" s="39">
        <f t="shared" si="78"/>
        <v>84350200.000000015</v>
      </c>
    </row>
    <row r="64" spans="1:19" hidden="1" outlineLevel="1" x14ac:dyDescent="0.25">
      <c r="A64" s="489"/>
      <c r="B64" s="489"/>
      <c r="D64" s="3" t="s">
        <v>860</v>
      </c>
      <c r="F64" s="39"/>
      <c r="G64" s="39">
        <f>+G62-G63</f>
        <v>173326400</v>
      </c>
      <c r="H64" s="39">
        <f t="shared" ref="H64:L64" si="79">+H62-H63</f>
        <v>252489900</v>
      </c>
      <c r="I64" s="39">
        <f t="shared" si="79"/>
        <v>262489500</v>
      </c>
      <c r="J64" s="39">
        <f>+J62-J63</f>
        <v>350819300</v>
      </c>
      <c r="K64" s="39">
        <f t="shared" si="79"/>
        <v>405817100</v>
      </c>
      <c r="L64" s="39">
        <f t="shared" si="79"/>
        <v>421649800</v>
      </c>
    </row>
    <row r="65" spans="1:19" ht="30" hidden="1" outlineLevel="1" x14ac:dyDescent="0.25">
      <c r="A65" s="489"/>
      <c r="B65" s="489"/>
      <c r="D65" s="3" t="s">
        <v>861</v>
      </c>
      <c r="F65" s="39"/>
      <c r="G65" s="39">
        <f>+G64*19%</f>
        <v>32932016</v>
      </c>
      <c r="H65" s="39">
        <f t="shared" ref="H65:L65" si="80">+H64*19%</f>
        <v>47973081</v>
      </c>
      <c r="I65" s="39">
        <f t="shared" si="80"/>
        <v>49873005</v>
      </c>
      <c r="J65" s="39">
        <f>+J64*19%</f>
        <v>66655667</v>
      </c>
      <c r="K65" s="39">
        <f t="shared" si="80"/>
        <v>77105249</v>
      </c>
      <c r="L65" s="39">
        <f t="shared" si="80"/>
        <v>80113462</v>
      </c>
    </row>
    <row r="66" spans="1:19" hidden="1" outlineLevel="1" x14ac:dyDescent="0.25">
      <c r="A66" s="489"/>
      <c r="B66" s="489"/>
      <c r="D66" s="3" t="s">
        <v>862</v>
      </c>
      <c r="F66" s="39"/>
      <c r="G66" s="39">
        <f>+G65*20%</f>
        <v>6586403.2000000002</v>
      </c>
      <c r="H66" s="39">
        <f t="shared" ref="H66:L66" si="81">+H65*20%</f>
        <v>9594616.2000000011</v>
      </c>
      <c r="I66" s="39">
        <f t="shared" si="81"/>
        <v>9974601</v>
      </c>
      <c r="J66" s="39">
        <f>+J65*20%</f>
        <v>13331133.4</v>
      </c>
      <c r="K66" s="39">
        <f t="shared" si="81"/>
        <v>15421049.800000001</v>
      </c>
      <c r="L66" s="39">
        <f t="shared" si="81"/>
        <v>16022692.4</v>
      </c>
    </row>
    <row r="67" spans="1:19" ht="150" x14ac:dyDescent="0.25">
      <c r="A67" s="9">
        <v>13</v>
      </c>
      <c r="B67" s="38" t="s">
        <v>65</v>
      </c>
      <c r="C67" s="38" t="s">
        <v>864</v>
      </c>
      <c r="D67" s="38" t="s">
        <v>865</v>
      </c>
      <c r="E67" s="39"/>
      <c r="F67" s="39"/>
      <c r="G67" s="39">
        <f>+G69+G72</f>
        <v>2182019400</v>
      </c>
      <c r="H67" s="39">
        <f t="shared" ref="H67:K67" si="82">+H69+H72</f>
        <v>4364038800</v>
      </c>
      <c r="I67" s="39">
        <f t="shared" si="82"/>
        <v>4364038800</v>
      </c>
      <c r="J67" s="39">
        <f>+J69+J72</f>
        <v>6546058200.000001</v>
      </c>
      <c r="K67" s="39">
        <f t="shared" si="82"/>
        <v>6546058200.000001</v>
      </c>
      <c r="L67" s="39">
        <f>+L69+L72</f>
        <v>6546058200.000001</v>
      </c>
      <c r="M67" s="39">
        <f>+M73</f>
        <v>138600000000</v>
      </c>
      <c r="O67" s="28">
        <f>L67</f>
        <v>6546058200.000001</v>
      </c>
      <c r="P67" s="28">
        <f>O67</f>
        <v>6546058200.000001</v>
      </c>
      <c r="Q67" s="28">
        <f t="shared" ref="Q67:S67" si="83">P67</f>
        <v>6546058200.000001</v>
      </c>
      <c r="R67" s="28">
        <f t="shared" si="83"/>
        <v>6546058200.000001</v>
      </c>
      <c r="S67" s="28">
        <f t="shared" si="83"/>
        <v>6546058200.000001</v>
      </c>
    </row>
    <row r="68" spans="1:19" outlineLevel="1" x14ac:dyDescent="0.25">
      <c r="A68" s="489" t="s">
        <v>184</v>
      </c>
      <c r="B68" s="489"/>
      <c r="D68" s="3" t="s">
        <v>858</v>
      </c>
      <c r="F68" s="39">
        <f>+'StG 1'!AD71*1000</f>
        <v>0</v>
      </c>
      <c r="G68" s="39">
        <f>+'StG 1'!AE71*1000</f>
        <v>11000000000</v>
      </c>
      <c r="H68" s="39">
        <f>+'StG 1'!AF71*1000</f>
        <v>22000000000</v>
      </c>
      <c r="I68" s="39">
        <f>+'StG 1'!AG71*1000</f>
        <v>22000000000</v>
      </c>
      <c r="J68" s="39">
        <f>+'StG 1'!AH71*1000</f>
        <v>33000000000</v>
      </c>
      <c r="K68" s="39">
        <f>+'StG 1'!AI71*1000</f>
        <v>33000000000</v>
      </c>
      <c r="L68" s="39">
        <f>+'StG 1'!AJ71*1000</f>
        <v>33000000000</v>
      </c>
    </row>
    <row r="69" spans="1:19" outlineLevel="1" x14ac:dyDescent="0.25">
      <c r="A69" s="489"/>
      <c r="B69" s="489"/>
      <c r="D69" s="3" t="s">
        <v>859</v>
      </c>
      <c r="F69" s="39"/>
      <c r="G69" s="39">
        <f>+G68*16.67%</f>
        <v>1833700000.0000002</v>
      </c>
      <c r="H69" s="39">
        <f t="shared" ref="H69:L69" si="84">+H68*16.67%</f>
        <v>3667400000.0000005</v>
      </c>
      <c r="I69" s="39">
        <f t="shared" si="84"/>
        <v>3667400000.0000005</v>
      </c>
      <c r="J69" s="39">
        <f t="shared" si="84"/>
        <v>5501100000.000001</v>
      </c>
      <c r="K69" s="39">
        <f t="shared" si="84"/>
        <v>5501100000.000001</v>
      </c>
      <c r="L69" s="39">
        <f t="shared" si="84"/>
        <v>5501100000.000001</v>
      </c>
      <c r="M69" s="39"/>
    </row>
    <row r="70" spans="1:19" outlineLevel="1" x14ac:dyDescent="0.25">
      <c r="A70" s="489"/>
      <c r="B70" s="489"/>
      <c r="D70" s="3" t="s">
        <v>860</v>
      </c>
      <c r="F70" s="39"/>
      <c r="G70" s="39">
        <f>+G68-G69</f>
        <v>9166300000</v>
      </c>
      <c r="H70" s="39">
        <f t="shared" ref="H70:L70" si="85">+H68-H69</f>
        <v>18332600000</v>
      </c>
      <c r="I70" s="39">
        <f t="shared" si="85"/>
        <v>18332600000</v>
      </c>
      <c r="J70" s="39">
        <f t="shared" si="85"/>
        <v>27498900000</v>
      </c>
      <c r="K70" s="39">
        <f t="shared" si="85"/>
        <v>27498900000</v>
      </c>
      <c r="L70" s="39">
        <f t="shared" si="85"/>
        <v>27498900000</v>
      </c>
    </row>
    <row r="71" spans="1:19" ht="30" outlineLevel="1" x14ac:dyDescent="0.25">
      <c r="A71" s="489"/>
      <c r="B71" s="489"/>
      <c r="D71" s="3" t="s">
        <v>861</v>
      </c>
      <c r="F71" s="39"/>
      <c r="G71" s="39">
        <f>+G70*19%</f>
        <v>1741597000</v>
      </c>
      <c r="H71" s="39">
        <f t="shared" ref="H71:L71" si="86">+H70*19%</f>
        <v>3483194000</v>
      </c>
      <c r="I71" s="39">
        <f t="shared" si="86"/>
        <v>3483194000</v>
      </c>
      <c r="J71" s="39">
        <f t="shared" si="86"/>
        <v>5224791000</v>
      </c>
      <c r="K71" s="39">
        <f t="shared" si="86"/>
        <v>5224791000</v>
      </c>
      <c r="L71" s="39">
        <f t="shared" si="86"/>
        <v>5224791000</v>
      </c>
    </row>
    <row r="72" spans="1:19" outlineLevel="1" x14ac:dyDescent="0.25">
      <c r="A72" s="489"/>
      <c r="B72" s="489"/>
      <c r="D72" s="3" t="s">
        <v>862</v>
      </c>
      <c r="F72" s="39"/>
      <c r="G72" s="39">
        <f>+G71*20%</f>
        <v>348319400</v>
      </c>
      <c r="H72" s="39">
        <f t="shared" ref="H72:L72" si="87">+H71*20%</f>
        <v>696638800</v>
      </c>
      <c r="I72" s="39">
        <f t="shared" si="87"/>
        <v>696638800</v>
      </c>
      <c r="J72" s="39">
        <f t="shared" si="87"/>
        <v>1044958200</v>
      </c>
      <c r="K72" s="39">
        <f t="shared" si="87"/>
        <v>1044958200</v>
      </c>
      <c r="L72" s="39">
        <f t="shared" si="87"/>
        <v>1044958200</v>
      </c>
    </row>
    <row r="73" spans="1:19" outlineLevel="1" x14ac:dyDescent="0.25">
      <c r="A73" s="489"/>
      <c r="B73" s="489"/>
      <c r="D73" s="3" t="s">
        <v>866</v>
      </c>
      <c r="F73" s="39"/>
      <c r="G73" s="39">
        <f>+G68-G68*5/20</f>
        <v>8250000000</v>
      </c>
      <c r="H73" s="39">
        <f>+H68-H68*4/20</f>
        <v>17600000000</v>
      </c>
      <c r="I73" s="39">
        <f>+I68-I68*3/20</f>
        <v>18700000000</v>
      </c>
      <c r="J73" s="39">
        <f>+J68-J68*2/20</f>
        <v>29700000000</v>
      </c>
      <c r="K73" s="39">
        <f>+K68-K68*1/20</f>
        <v>31350000000</v>
      </c>
      <c r="L73" s="39">
        <f>+L68-L68*0/20</f>
        <v>33000000000</v>
      </c>
      <c r="M73" s="26">
        <f>+SUM(G73:L73)</f>
        <v>138600000000</v>
      </c>
    </row>
    <row r="74" spans="1:19" ht="75" x14ac:dyDescent="0.25">
      <c r="A74" s="9">
        <v>14</v>
      </c>
      <c r="B74" s="38" t="s">
        <v>159</v>
      </c>
      <c r="C74" s="38" t="s">
        <v>867</v>
      </c>
      <c r="D74" s="38" t="s">
        <v>857</v>
      </c>
      <c r="E74" s="39"/>
      <c r="F74" s="39"/>
      <c r="G74" s="39"/>
      <c r="H74" s="39">
        <f>+H76+H79</f>
        <v>1091009700</v>
      </c>
      <c r="I74" s="39">
        <f t="shared" ref="I74:L74" si="88">+I76+I79</f>
        <v>1091009700</v>
      </c>
      <c r="J74" s="39">
        <f t="shared" si="88"/>
        <v>2182019400</v>
      </c>
      <c r="K74" s="39">
        <f>+K76+K79</f>
        <v>3273029100.0000005</v>
      </c>
      <c r="L74" s="39">
        <f t="shared" si="88"/>
        <v>3273029100.0000005</v>
      </c>
      <c r="O74" s="28">
        <f>L74</f>
        <v>3273029100.0000005</v>
      </c>
      <c r="P74" s="28">
        <f>O74</f>
        <v>3273029100.0000005</v>
      </c>
      <c r="Q74" s="28">
        <f t="shared" ref="Q74:S74" si="89">P74</f>
        <v>3273029100.0000005</v>
      </c>
      <c r="R74" s="28">
        <f t="shared" si="89"/>
        <v>3273029100.0000005</v>
      </c>
      <c r="S74" s="28">
        <f t="shared" si="89"/>
        <v>3273029100.0000005</v>
      </c>
    </row>
    <row r="75" spans="1:19" outlineLevel="1" collapsed="1" x14ac:dyDescent="0.25">
      <c r="A75" s="489" t="s">
        <v>184</v>
      </c>
      <c r="B75" s="489"/>
      <c r="C75" s="38"/>
      <c r="D75" s="3" t="s">
        <v>858</v>
      </c>
      <c r="E75" s="39"/>
      <c r="F75" s="39">
        <f>+'StG 1'!AD72*1000</f>
        <v>0</v>
      </c>
      <c r="G75" s="39">
        <f>+'StG 1'!AE72*1000</f>
        <v>0</v>
      </c>
      <c r="H75" s="39">
        <f>+'StG 1'!AF72*1000</f>
        <v>5500000000</v>
      </c>
      <c r="I75" s="39">
        <f>+'StG 1'!AG72*1000</f>
        <v>5500000000</v>
      </c>
      <c r="J75" s="39">
        <f>+'StG 1'!AH72*1000</f>
        <v>11000000000</v>
      </c>
      <c r="K75" s="39">
        <f>+'StG 1'!AI72*1000</f>
        <v>16500000000</v>
      </c>
      <c r="L75" s="39">
        <f>+'StG 1'!AJ72*1000</f>
        <v>16500000000</v>
      </c>
    </row>
    <row r="76" spans="1:19" outlineLevel="1" x14ac:dyDescent="0.25">
      <c r="A76" s="489"/>
      <c r="B76" s="489"/>
      <c r="C76" s="38"/>
      <c r="D76" s="3" t="s">
        <v>859</v>
      </c>
      <c r="E76" s="39"/>
      <c r="F76" s="39"/>
      <c r="G76" s="39"/>
      <c r="H76" s="39">
        <f>+H75*16.67%</f>
        <v>916850000.00000012</v>
      </c>
      <c r="I76" s="39">
        <f t="shared" ref="I76:K76" si="90">+I75*16.67%</f>
        <v>916850000.00000012</v>
      </c>
      <c r="J76" s="39">
        <f t="shared" si="90"/>
        <v>1833700000.0000002</v>
      </c>
      <c r="K76" s="39">
        <f t="shared" si="90"/>
        <v>2750550000.0000005</v>
      </c>
      <c r="L76" s="39">
        <f>+L75*16.67%</f>
        <v>2750550000.0000005</v>
      </c>
    </row>
    <row r="77" spans="1:19" outlineLevel="1" x14ac:dyDescent="0.25">
      <c r="A77" s="489"/>
      <c r="B77" s="489"/>
      <c r="C77" s="38"/>
      <c r="D77" s="3" t="s">
        <v>860</v>
      </c>
      <c r="E77" s="39"/>
      <c r="F77" s="39"/>
      <c r="G77" s="39"/>
      <c r="H77" s="39">
        <f>+H75-H76</f>
        <v>4583150000</v>
      </c>
      <c r="I77" s="39">
        <f t="shared" ref="I77:K77" si="91">+I75-I76</f>
        <v>4583150000</v>
      </c>
      <c r="J77" s="39">
        <f t="shared" si="91"/>
        <v>9166300000</v>
      </c>
      <c r="K77" s="39">
        <f t="shared" si="91"/>
        <v>13749450000</v>
      </c>
      <c r="L77" s="39">
        <f>+L75-L76</f>
        <v>13749450000</v>
      </c>
    </row>
    <row r="78" spans="1:19" ht="30" outlineLevel="1" x14ac:dyDescent="0.25">
      <c r="A78" s="489"/>
      <c r="B78" s="489"/>
      <c r="C78" s="38"/>
      <c r="D78" s="3" t="s">
        <v>861</v>
      </c>
      <c r="E78" s="39"/>
      <c r="F78" s="39"/>
      <c r="G78" s="39"/>
      <c r="H78" s="39">
        <f>+H77*19%</f>
        <v>870798500</v>
      </c>
      <c r="I78" s="39">
        <f>+I77*19%</f>
        <v>870798500</v>
      </c>
      <c r="J78" s="39">
        <f>+J77*19%</f>
        <v>1741597000</v>
      </c>
      <c r="K78" s="39">
        <f t="shared" ref="K78" si="92">+K77*19%</f>
        <v>2612395500</v>
      </c>
      <c r="L78" s="39">
        <f>+L77*19%</f>
        <v>2612395500</v>
      </c>
    </row>
    <row r="79" spans="1:19" outlineLevel="1" x14ac:dyDescent="0.25">
      <c r="A79" s="489"/>
      <c r="B79" s="489"/>
      <c r="C79" s="38"/>
      <c r="D79" s="3" t="s">
        <v>862</v>
      </c>
      <c r="E79" s="39"/>
      <c r="F79" s="39"/>
      <c r="G79" s="39"/>
      <c r="H79" s="39">
        <f>+H78*20%</f>
        <v>174159700</v>
      </c>
      <c r="I79" s="39">
        <f t="shared" ref="I79:J79" si="93">+I78*20%</f>
        <v>174159700</v>
      </c>
      <c r="J79" s="39">
        <f t="shared" si="93"/>
        <v>348319400</v>
      </c>
      <c r="K79" s="39">
        <f>+K78*20%</f>
        <v>522479100</v>
      </c>
      <c r="L79" s="39">
        <f>+L78*20%</f>
        <v>522479100</v>
      </c>
    </row>
    <row r="81" spans="2:19" x14ac:dyDescent="0.25">
      <c r="B81" s="490" t="s">
        <v>868</v>
      </c>
    </row>
    <row r="82" spans="2:19" x14ac:dyDescent="0.25">
      <c r="B82" s="490"/>
    </row>
    <row r="83" spans="2:19" ht="53.25" customHeight="1" x14ac:dyDescent="0.25">
      <c r="B83" s="490"/>
      <c r="O83" s="488" t="s">
        <v>952</v>
      </c>
      <c r="P83" s="488"/>
      <c r="Q83" s="488"/>
      <c r="R83" s="488"/>
      <c r="S83" s="488"/>
    </row>
    <row r="84" spans="2:19" x14ac:dyDescent="0.25">
      <c r="B84" t="s">
        <v>869</v>
      </c>
      <c r="F84">
        <v>1</v>
      </c>
      <c r="G84">
        <v>2</v>
      </c>
      <c r="H84">
        <v>3</v>
      </c>
      <c r="I84">
        <v>4</v>
      </c>
      <c r="J84">
        <v>5</v>
      </c>
      <c r="K84">
        <v>6</v>
      </c>
      <c r="L84">
        <v>7</v>
      </c>
      <c r="M84">
        <v>7</v>
      </c>
      <c r="O84" s="31">
        <v>8</v>
      </c>
      <c r="P84">
        <v>9</v>
      </c>
      <c r="Q84" s="31">
        <v>10</v>
      </c>
      <c r="R84">
        <v>11</v>
      </c>
      <c r="S84" s="31">
        <v>12</v>
      </c>
    </row>
    <row r="85" spans="2:19" x14ac:dyDescent="0.25">
      <c r="B85" t="s">
        <v>870</v>
      </c>
      <c r="F85" s="31">
        <f>SUM(F86:F90)</f>
        <v>383000000</v>
      </c>
      <c r="G85" s="31">
        <f t="shared" ref="G85:K85" si="94">SUM(G86:G90)</f>
        <v>41252000000</v>
      </c>
      <c r="H85" s="31">
        <f t="shared" si="94"/>
        <v>73176000000</v>
      </c>
      <c r="I85" s="31">
        <f t="shared" si="94"/>
        <v>105200000000</v>
      </c>
      <c r="J85" s="31">
        <f t="shared" si="94"/>
        <v>158987000000</v>
      </c>
      <c r="K85" s="31">
        <f t="shared" si="94"/>
        <v>210878000000</v>
      </c>
      <c r="L85" s="31">
        <f>SUM(L86:L90)</f>
        <v>281274000000</v>
      </c>
      <c r="M85" s="26"/>
      <c r="O85" s="31">
        <f>SUM(O86:O90)</f>
        <v>137151000000</v>
      </c>
      <c r="P85" s="31">
        <f t="shared" ref="P85" si="95">SUM(P86:P90)</f>
        <v>134600000000</v>
      </c>
      <c r="Q85" s="31">
        <f t="shared" ref="Q85" si="96">SUM(Q86:Q90)</f>
        <v>124806000000</v>
      </c>
      <c r="R85" s="31">
        <f t="shared" ref="R85" si="97">SUM(R86:R90)</f>
        <v>113832000000</v>
      </c>
      <c r="S85" s="31">
        <f t="shared" ref="S85" si="98">SUM(S86:S90)</f>
        <v>86896000000</v>
      </c>
    </row>
    <row r="86" spans="2:19" outlineLevel="1" x14ac:dyDescent="0.25">
      <c r="B86" t="s">
        <v>743</v>
      </c>
      <c r="F86" s="31">
        <f>+'Summary tables'!B3*1000</f>
        <v>50000000</v>
      </c>
      <c r="G86" s="31">
        <f>+'Summary tables'!C3*1000</f>
        <v>21524000000</v>
      </c>
      <c r="H86" s="31">
        <f>+'Summary tables'!D3*1000</f>
        <v>47947000000</v>
      </c>
      <c r="I86" s="31">
        <f>+'Summary tables'!E3*1000</f>
        <v>59534000000</v>
      </c>
      <c r="J86" s="31">
        <f>+'Summary tables'!F3*1000</f>
        <v>100429000000</v>
      </c>
      <c r="K86" s="31">
        <f>+'Summary tables'!G3*1000</f>
        <v>138572000000</v>
      </c>
      <c r="L86" s="31">
        <f>+'Summary tables'!H3*1000</f>
        <v>191677000000</v>
      </c>
      <c r="M86" s="31"/>
      <c r="O86" s="31">
        <f>O101*1000</f>
        <v>86792000000</v>
      </c>
      <c r="P86" s="31">
        <f t="shared" ref="P86:S86" si="99">P101*1000</f>
        <v>82226000000</v>
      </c>
      <c r="Q86" s="31">
        <f t="shared" si="99"/>
        <v>70337000000</v>
      </c>
      <c r="R86" s="31">
        <f t="shared" si="99"/>
        <v>57183000000</v>
      </c>
      <c r="S86" s="31">
        <f t="shared" si="99"/>
        <v>27980000000</v>
      </c>
    </row>
    <row r="87" spans="2:19" outlineLevel="1" x14ac:dyDescent="0.25">
      <c r="B87" t="s">
        <v>765</v>
      </c>
      <c r="F87" s="31">
        <f>+'Summary tables'!B4*1000</f>
        <v>53000000</v>
      </c>
      <c r="G87" s="31">
        <f>+'Summary tables'!C4*1000</f>
        <v>13640000000</v>
      </c>
      <c r="H87" s="31">
        <f>+'Summary tables'!D4*1000</f>
        <v>19002000000</v>
      </c>
      <c r="I87" s="31">
        <f>+'Summary tables'!E4*1000</f>
        <v>29758000000</v>
      </c>
      <c r="J87" s="31">
        <f>+'Summary tables'!F4*1000</f>
        <v>41489000000</v>
      </c>
      <c r="K87" s="31">
        <f>+'Summary tables'!G4*1000</f>
        <v>53919000000</v>
      </c>
      <c r="L87" s="31">
        <f>+'Summary tables'!H4*1000</f>
        <v>69565000000</v>
      </c>
      <c r="M87" s="31"/>
      <c r="O87" s="31">
        <f>O102*1000</f>
        <v>38715000000</v>
      </c>
      <c r="P87" s="31">
        <f t="shared" ref="P87:S87" si="100">P102*1000</f>
        <v>40263000000</v>
      </c>
      <c r="Q87" s="31">
        <f t="shared" si="100"/>
        <v>41873000000</v>
      </c>
      <c r="R87" s="31">
        <f t="shared" si="100"/>
        <v>43549000000</v>
      </c>
      <c r="S87" s="31">
        <f t="shared" si="100"/>
        <v>45292000000</v>
      </c>
    </row>
    <row r="88" spans="2:19" outlineLevel="1" x14ac:dyDescent="0.25">
      <c r="B88" t="s">
        <v>778</v>
      </c>
      <c r="F88" s="31">
        <f>+'Summary tables'!B5*1000</f>
        <v>70000000</v>
      </c>
      <c r="G88" s="31">
        <f>+'Summary tables'!C5*1000</f>
        <v>3851000000</v>
      </c>
      <c r="H88" s="31">
        <f>+'Summary tables'!D5*1000</f>
        <v>4254000000</v>
      </c>
      <c r="I88" s="31">
        <f>+'Summary tables'!E5*1000</f>
        <v>5456000000</v>
      </c>
      <c r="J88" s="31">
        <f>+'Summary tables'!F5*1000</f>
        <v>6905000000</v>
      </c>
      <c r="K88" s="31">
        <f>+'Summary tables'!G5*1000</f>
        <v>8425000000</v>
      </c>
      <c r="L88" s="31">
        <f>+'Summary tables'!H5*1000</f>
        <v>10286000000</v>
      </c>
      <c r="M88" s="31"/>
      <c r="O88" s="31">
        <f>O103*1000</f>
        <v>1688000000</v>
      </c>
      <c r="P88" s="31">
        <f t="shared" ref="P88:S88" si="101">P103*1000</f>
        <v>1756000000</v>
      </c>
      <c r="Q88" s="31">
        <f t="shared" si="101"/>
        <v>1827000000</v>
      </c>
      <c r="R88" s="31">
        <f t="shared" si="101"/>
        <v>1900000000</v>
      </c>
      <c r="S88" s="31">
        <f t="shared" si="101"/>
        <v>1976000000</v>
      </c>
    </row>
    <row r="89" spans="2:19" outlineLevel="1" x14ac:dyDescent="0.25">
      <c r="B89" t="s">
        <v>781</v>
      </c>
      <c r="F89" s="31">
        <f>+'Summary tables'!B6*1000</f>
        <v>30000000</v>
      </c>
      <c r="G89" s="31">
        <f>+'Summary tables'!C6*1000</f>
        <v>1548000000</v>
      </c>
      <c r="H89" s="31">
        <f>+'Summary tables'!D6*1000</f>
        <v>1403000000</v>
      </c>
      <c r="I89" s="31">
        <f>+'Summary tables'!E6*1000</f>
        <v>9990000000</v>
      </c>
      <c r="J89" s="31">
        <f>+'Summary tables'!F6*1000</f>
        <v>9720000000</v>
      </c>
      <c r="K89" s="31">
        <f>+'Summary tables'!G6*1000</f>
        <v>9450000000</v>
      </c>
      <c r="L89" s="31">
        <f>+'Summary tables'!H6*1000</f>
        <v>9180000000</v>
      </c>
      <c r="M89" s="31"/>
      <c r="O89" s="31">
        <f>O104*1000</f>
        <v>9547000000</v>
      </c>
      <c r="P89" s="31">
        <f t="shared" ref="P89:S89" si="102">P104*1000</f>
        <v>9929000000</v>
      </c>
      <c r="Q89" s="31">
        <f t="shared" si="102"/>
        <v>10326000000</v>
      </c>
      <c r="R89" s="31">
        <f t="shared" si="102"/>
        <v>10739000000</v>
      </c>
      <c r="S89" s="31">
        <f t="shared" si="102"/>
        <v>11169000000</v>
      </c>
    </row>
    <row r="90" spans="2:19" outlineLevel="1" x14ac:dyDescent="0.25">
      <c r="B90" t="s">
        <v>782</v>
      </c>
      <c r="F90" s="31">
        <f>+'Summary tables'!B7*1000</f>
        <v>180000000</v>
      </c>
      <c r="G90" s="31">
        <f>+'Summary tables'!C7*1000</f>
        <v>689000000</v>
      </c>
      <c r="H90" s="31">
        <f>+'Summary tables'!D7*1000</f>
        <v>570000000</v>
      </c>
      <c r="I90" s="31">
        <f>+'Summary tables'!E7*1000</f>
        <v>462000000</v>
      </c>
      <c r="J90" s="31">
        <f>+'Summary tables'!F7*1000</f>
        <v>444000000</v>
      </c>
      <c r="K90" s="31">
        <f>+'Summary tables'!G7*1000</f>
        <v>512000000</v>
      </c>
      <c r="L90" s="31">
        <f>+'Summary tables'!H7*1000</f>
        <v>566000000</v>
      </c>
      <c r="M90" s="31"/>
      <c r="O90" s="31">
        <f>O105*1000</f>
        <v>409000000</v>
      </c>
      <c r="P90" s="31">
        <f t="shared" ref="P90:S90" si="103">P105*1000</f>
        <v>426000000</v>
      </c>
      <c r="Q90" s="31">
        <f t="shared" si="103"/>
        <v>443000000</v>
      </c>
      <c r="R90" s="31">
        <f t="shared" si="103"/>
        <v>461000000</v>
      </c>
      <c r="S90" s="31">
        <f t="shared" si="103"/>
        <v>479000000</v>
      </c>
    </row>
    <row r="91" spans="2:19" x14ac:dyDescent="0.25">
      <c r="B91" t="s">
        <v>871</v>
      </c>
      <c r="F91" s="26">
        <f>+F2+F6+F10+F16+F23+F26+F38+F47+F51+F53+F55+F61+F67+F74</f>
        <v>17762334340.062351</v>
      </c>
      <c r="G91" s="26">
        <f t="shared" ref="G91:L91" si="104">+G2+G6+G10+G16+G23+G26+G38+G47+G51+G53+G55+G61+G67+G74</f>
        <v>36493054407.414719</v>
      </c>
      <c r="H91" s="26">
        <f>+H2+H6+H10+H16+H23+H26+H38+H47+H51+H53+H55+H61+H67+H74</f>
        <v>72436153732.92334</v>
      </c>
      <c r="I91" s="26">
        <f t="shared" si="104"/>
        <v>98321199385.151428</v>
      </c>
      <c r="J91" s="26">
        <f>+J2+J6+J10+J16+J23+J26+J38+J47+J51+J53+J55+J61+J67+J74</f>
        <v>144762560350.07477</v>
      </c>
      <c r="K91" s="26">
        <f t="shared" si="104"/>
        <v>195652834885.47549</v>
      </c>
      <c r="L91" s="26">
        <f t="shared" si="104"/>
        <v>281316876452.54944</v>
      </c>
      <c r="M91" s="26">
        <f>+M67</f>
        <v>138600000000</v>
      </c>
      <c r="O91" s="26">
        <f t="shared" ref="O91:S91" si="105">+O2+O6+O10+O16+O23+O26+O38+O47+O51+O53+O55+O61+O67+O74</f>
        <v>291731510302.11853</v>
      </c>
      <c r="P91" s="26">
        <f t="shared" si="105"/>
        <v>302586035768.77057</v>
      </c>
      <c r="Q91" s="26">
        <f t="shared" si="105"/>
        <v>313899182885.88336</v>
      </c>
      <c r="R91" s="26">
        <f t="shared" si="105"/>
        <v>325690495301.95422</v>
      </c>
      <c r="S91" s="26">
        <f t="shared" si="105"/>
        <v>337980364614.77185</v>
      </c>
    </row>
    <row r="92" spans="2:19" x14ac:dyDescent="0.25">
      <c r="B92" t="s">
        <v>872</v>
      </c>
      <c r="F92" s="47">
        <v>0.107638</v>
      </c>
      <c r="G92" s="31"/>
      <c r="H92" s="31"/>
      <c r="I92" s="31"/>
      <c r="J92" s="31"/>
      <c r="K92" s="31"/>
      <c r="L92" s="31"/>
    </row>
    <row r="93" spans="2:19" x14ac:dyDescent="0.25">
      <c r="B93" t="s">
        <v>873</v>
      </c>
      <c r="F93" s="26">
        <f>+F85/(1+$F$92)^F84</f>
        <v>345780841.75515831</v>
      </c>
      <c r="G93" s="26">
        <f>+G85/(1+$F$92)^G84</f>
        <v>33623995241.179741</v>
      </c>
      <c r="H93" s="26">
        <f t="shared" ref="H93:M93" si="106">+H85/(1+$F$92)^H84</f>
        <v>53848687924.62558</v>
      </c>
      <c r="I93" s="26">
        <f t="shared" si="106"/>
        <v>69891498615.032043</v>
      </c>
      <c r="J93" s="26">
        <f t="shared" si="106"/>
        <v>95361347813.517273</v>
      </c>
      <c r="K93" s="26">
        <f t="shared" si="106"/>
        <v>114194238656.67085</v>
      </c>
      <c r="L93" s="26">
        <f>+L85/(1+$F$92)^L84</f>
        <v>137513286595.82739</v>
      </c>
      <c r="M93" s="26">
        <f t="shared" si="106"/>
        <v>0</v>
      </c>
      <c r="O93" s="26">
        <f t="shared" ref="O93:S93" si="107">+O85/(1+$F$92)^O84</f>
        <v>60536346153.453453</v>
      </c>
      <c r="P93" s="26">
        <f t="shared" si="107"/>
        <v>53636995038.909119</v>
      </c>
      <c r="Q93" s="26">
        <f t="shared" si="107"/>
        <v>44901101659.581505</v>
      </c>
      <c r="R93" s="26">
        <f t="shared" si="107"/>
        <v>36973286141.184479</v>
      </c>
      <c r="S93" s="26">
        <f t="shared" si="107"/>
        <v>25481537226.732258</v>
      </c>
    </row>
    <row r="94" spans="2:19" x14ac:dyDescent="0.25">
      <c r="B94" t="s">
        <v>874</v>
      </c>
      <c r="F94" s="26">
        <f t="shared" ref="F94:M94" si="108">+F91/(1+$F$92)^F84</f>
        <v>16036226944.238419</v>
      </c>
      <c r="G94" s="26">
        <f t="shared" si="108"/>
        <v>29745037518.933041</v>
      </c>
      <c r="H94" s="26">
        <f t="shared" si="108"/>
        <v>53304250530.561813</v>
      </c>
      <c r="I94" s="26">
        <f t="shared" si="108"/>
        <v>65321444587.980995</v>
      </c>
      <c r="J94" s="26">
        <f t="shared" si="108"/>
        <v>86829444343.995193</v>
      </c>
      <c r="K94" s="26">
        <f t="shared" si="108"/>
        <v>105949537271.62723</v>
      </c>
      <c r="L94" s="26">
        <f>+L91/(1+$F$92)^L84</f>
        <v>137534248653.84784</v>
      </c>
      <c r="M94" s="26">
        <f t="shared" si="108"/>
        <v>67760765382.444435</v>
      </c>
      <c r="O94" s="26">
        <f t="shared" ref="O94:S94" si="109">+O91/(1+$F$92)^O84</f>
        <v>128765810613.98619</v>
      </c>
      <c r="P94" s="26">
        <f t="shared" si="109"/>
        <v>120578051258.34119</v>
      </c>
      <c r="Q94" s="26">
        <f t="shared" si="109"/>
        <v>112930621297.20218</v>
      </c>
      <c r="R94" s="26">
        <f t="shared" si="109"/>
        <v>105786139892.6774</v>
      </c>
      <c r="S94" s="26">
        <f t="shared" si="109"/>
        <v>99109961826.043213</v>
      </c>
    </row>
    <row r="95" spans="2:19" x14ac:dyDescent="0.25">
      <c r="B95" t="s">
        <v>875</v>
      </c>
      <c r="F95" s="26">
        <f>+SUM(F94:M94)-SUM(F93:M93)</f>
        <v>57702119545.020874</v>
      </c>
    </row>
    <row r="97" spans="2:19" x14ac:dyDescent="0.25">
      <c r="F97" s="52">
        <f>+F95/1000000000</f>
        <v>57.702119545020871</v>
      </c>
    </row>
    <row r="99" spans="2:19" x14ac:dyDescent="0.25">
      <c r="B99" s="16" t="s">
        <v>955</v>
      </c>
      <c r="O99" s="31">
        <v>8</v>
      </c>
      <c r="P99">
        <v>9</v>
      </c>
      <c r="Q99" s="31">
        <v>10</v>
      </c>
      <c r="R99">
        <v>11</v>
      </c>
      <c r="S99" s="31">
        <v>12</v>
      </c>
    </row>
    <row r="100" spans="2:19" x14ac:dyDescent="0.25">
      <c r="B100" t="s">
        <v>870</v>
      </c>
      <c r="F100" s="28">
        <f>'Summary tables'!D108*1000</f>
        <v>383000000</v>
      </c>
      <c r="G100" s="28">
        <f>'Summary tables'!E108*1000</f>
        <v>41252000000</v>
      </c>
      <c r="H100" s="28">
        <f>'Summary tables'!F108*1000</f>
        <v>73176000000</v>
      </c>
      <c r="I100" s="28">
        <f>'Summary tables'!G108*1000</f>
        <v>105200000000</v>
      </c>
      <c r="J100" s="28">
        <f>'Summary tables'!H108*1000</f>
        <v>158987000000</v>
      </c>
      <c r="K100" s="28">
        <f>'Summary tables'!I108*1000</f>
        <v>210878000000</v>
      </c>
      <c r="L100" s="28">
        <f>'Summary tables'!J108*1000</f>
        <v>281274000000</v>
      </c>
      <c r="O100" s="31">
        <f>SUM(O101:O105)</f>
        <v>137151000</v>
      </c>
      <c r="P100" s="31">
        <f t="shared" ref="P100:S100" si="110">SUM(P101:P105)</f>
        <v>134600000</v>
      </c>
      <c r="Q100" s="31">
        <f t="shared" si="110"/>
        <v>124806000</v>
      </c>
      <c r="R100" s="31">
        <f t="shared" si="110"/>
        <v>113832000</v>
      </c>
      <c r="S100" s="31">
        <f t="shared" si="110"/>
        <v>86896000</v>
      </c>
    </row>
    <row r="101" spans="2:19" x14ac:dyDescent="0.25">
      <c r="O101" s="15">
        <f>'StG 1'!AP4</f>
        <v>86792000</v>
      </c>
      <c r="P101" s="15">
        <f>'StG 1'!AQ4</f>
        <v>82226000</v>
      </c>
      <c r="Q101" s="15">
        <f>'StG 1'!AR4</f>
        <v>70337000</v>
      </c>
      <c r="R101" s="15">
        <f>'StG 1'!AS4</f>
        <v>57183000</v>
      </c>
      <c r="S101" s="15">
        <f>'StG 1'!AT4</f>
        <v>27980000</v>
      </c>
    </row>
    <row r="102" spans="2:19" x14ac:dyDescent="0.25">
      <c r="O102" s="15">
        <f>'StG 2'!AP4</f>
        <v>38715000</v>
      </c>
      <c r="P102" s="15">
        <f>'StG 2'!AQ4</f>
        <v>40263000</v>
      </c>
      <c r="Q102" s="15">
        <f>'StG 2'!AR4</f>
        <v>41873000</v>
      </c>
      <c r="R102" s="15">
        <f>'StG 2'!AS4</f>
        <v>43549000</v>
      </c>
      <c r="S102" s="15">
        <f>'StG 2'!AT4</f>
        <v>45292000</v>
      </c>
    </row>
    <row r="103" spans="2:19" x14ac:dyDescent="0.25">
      <c r="O103" s="15">
        <f>'StG 3'!AP4</f>
        <v>1688000</v>
      </c>
      <c r="P103" s="15">
        <f>'StG 3'!AQ4</f>
        <v>1756000</v>
      </c>
      <c r="Q103" s="15">
        <f>'StG 3'!AR4</f>
        <v>1827000</v>
      </c>
      <c r="R103" s="15">
        <f>'StG 3'!AS4</f>
        <v>1900000</v>
      </c>
      <c r="S103" s="15">
        <f>'StG 3'!AT4</f>
        <v>1976000</v>
      </c>
    </row>
    <row r="104" spans="2:19" x14ac:dyDescent="0.25">
      <c r="O104" s="15">
        <f>'StG 4'!AP4</f>
        <v>9547000</v>
      </c>
      <c r="P104" s="15">
        <f>'StG 4'!AQ4</f>
        <v>9929000</v>
      </c>
      <c r="Q104" s="15">
        <f>'StG 4'!AR4</f>
        <v>10326000</v>
      </c>
      <c r="R104" s="15">
        <f>'StG 4'!AS4</f>
        <v>10739000</v>
      </c>
      <c r="S104" s="15">
        <f>'StG 4'!AT4</f>
        <v>11169000</v>
      </c>
    </row>
    <row r="105" spans="2:19" x14ac:dyDescent="0.25">
      <c r="O105" s="15">
        <f>'StG 5'!AP4</f>
        <v>409000</v>
      </c>
      <c r="P105" s="15">
        <f>'StG 5'!AQ4</f>
        <v>426000</v>
      </c>
      <c r="Q105" s="15">
        <f>'StG 5'!AR4</f>
        <v>443000</v>
      </c>
      <c r="R105" s="15">
        <f>'StG 5'!AS4</f>
        <v>461000</v>
      </c>
      <c r="S105" s="15">
        <f>'StG 5'!AT4</f>
        <v>479000</v>
      </c>
    </row>
    <row r="106" spans="2:19" x14ac:dyDescent="0.25">
      <c r="B106" t="s">
        <v>871</v>
      </c>
      <c r="F106" s="26">
        <f t="shared" ref="F106:L106" si="111">+F2+F6+F10+F16+F23+F26+F38+F47</f>
        <v>17762334340.062351</v>
      </c>
      <c r="G106" s="26">
        <f t="shared" si="111"/>
        <v>33505704375.214718</v>
      </c>
      <c r="H106" s="26">
        <f t="shared" si="111"/>
        <v>66052528489.723343</v>
      </c>
      <c r="I106" s="26">
        <f t="shared" si="111"/>
        <v>91792984644.551422</v>
      </c>
      <c r="J106" s="26">
        <f t="shared" si="111"/>
        <v>134725066517.87476</v>
      </c>
      <c r="K106" s="26">
        <f t="shared" si="111"/>
        <v>184218591967.47549</v>
      </c>
      <c r="L106" s="26">
        <f t="shared" si="111"/>
        <v>269454079020.54941</v>
      </c>
      <c r="O106" s="26">
        <f>+O2+O6+O10+O16+O23+O26+O38+O47</f>
        <v>279786964464.8385</v>
      </c>
      <c r="P106" s="26">
        <f>+P2+P6+P10+P16+P23+P26+P38+P47</f>
        <v>290556471589.99933</v>
      </c>
      <c r="Q106" s="26">
        <f>+Q2+Q6+Q10+Q16+Q23+Q26+Q38+Q47</f>
        <v>301781199631.96136</v>
      </c>
      <c r="R106" s="26">
        <f>+R2+R6+R10+R16+R23+R26+R38+R47</f>
        <v>313480556209.87524</v>
      </c>
      <c r="S106" s="26">
        <f>+S2+S6+S10+S16+S23+S26+S38+S47</f>
        <v>325674791451.00983</v>
      </c>
    </row>
    <row r="108" spans="2:19" x14ac:dyDescent="0.25">
      <c r="O108" s="26">
        <f>+O100/(1+$F$92)^O99</f>
        <v>60536346.153453454</v>
      </c>
      <c r="P108" s="26">
        <f>+P100/(1+$F$92)^P99</f>
        <v>53636995.038909115</v>
      </c>
      <c r="Q108" s="26">
        <f>+Q100/(1+$F$92)^Q99</f>
        <v>44901101.659581505</v>
      </c>
      <c r="R108" s="26">
        <f>+R100/(1+$F$92)^R99</f>
        <v>36973286.141184479</v>
      </c>
      <c r="S108" s="26">
        <f>+S100/(1+$F$92)^S99</f>
        <v>25481537.226732258</v>
      </c>
    </row>
    <row r="109" spans="2:19" x14ac:dyDescent="0.25">
      <c r="O109" s="26">
        <f>+O106/(1+$F$92)^O99</f>
        <v>123493671428.33406</v>
      </c>
      <c r="P109" s="26">
        <f>+P106/(1+$F$92)^P99</f>
        <v>115784368686.44675</v>
      </c>
      <c r="Q109" s="26">
        <f>+Q106/(1+$F$92)^Q99</f>
        <v>108570968732.47406</v>
      </c>
      <c r="R109" s="26">
        <f>+R106/(1+$F$92)^R99</f>
        <v>101820281682.17534</v>
      </c>
      <c r="S109" s="26">
        <f>+S106/(1+$F$92)^S99</f>
        <v>95501453716.70929</v>
      </c>
    </row>
    <row r="110" spans="2:19" x14ac:dyDescent="0.25">
      <c r="H110" s="48"/>
      <c r="S110" s="26">
        <f>SUM(F94:L94)+SUM(O109:S109)-SUM(F93:L93)-SUM(O108:S108)</f>
        <v>534890569142.49609</v>
      </c>
    </row>
    <row r="112" spans="2:19" x14ac:dyDescent="0.25">
      <c r="H112" s="28"/>
    </row>
    <row r="113" spans="8:8" x14ac:dyDescent="0.25">
      <c r="H113" s="23"/>
    </row>
    <row r="114" spans="8:8" x14ac:dyDescent="0.25">
      <c r="H114" s="24"/>
    </row>
  </sheetData>
  <mergeCells count="16">
    <mergeCell ref="O83:S83"/>
    <mergeCell ref="A27:B37"/>
    <mergeCell ref="A3:B5"/>
    <mergeCell ref="A7:B9"/>
    <mergeCell ref="A11:B15"/>
    <mergeCell ref="A17:B22"/>
    <mergeCell ref="A24:B25"/>
    <mergeCell ref="A68:B73"/>
    <mergeCell ref="A75:B79"/>
    <mergeCell ref="B81:B83"/>
    <mergeCell ref="A39:B46"/>
    <mergeCell ref="A48:B50"/>
    <mergeCell ref="A52:B52"/>
    <mergeCell ref="A54:B54"/>
    <mergeCell ref="A56:B60"/>
    <mergeCell ref="A62:B66"/>
  </mergeCell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5"/>
  <sheetViews>
    <sheetView zoomScale="85" zoomScaleNormal="85" workbookViewId="0">
      <selection activeCell="E33" sqref="E33"/>
    </sheetView>
  </sheetViews>
  <sheetFormatPr defaultRowHeight="15" x14ac:dyDescent="0.25"/>
  <cols>
    <col min="1" max="1" width="95.5703125" bestFit="1" customWidth="1"/>
    <col min="2" max="2" width="20" bestFit="1" customWidth="1"/>
    <col min="3" max="3" width="18.85546875" bestFit="1" customWidth="1"/>
    <col min="4" max="4" width="20.5703125" bestFit="1" customWidth="1"/>
    <col min="5" max="5" width="18.85546875" bestFit="1" customWidth="1"/>
    <col min="6" max="8" width="20.140625" bestFit="1" customWidth="1"/>
    <col min="9" max="9" width="19" bestFit="1" customWidth="1"/>
    <col min="10" max="14" width="20.140625" bestFit="1" customWidth="1"/>
    <col min="17" max="17" width="11.5703125" bestFit="1" customWidth="1"/>
  </cols>
  <sheetData>
    <row r="1" spans="1:10" ht="18.75" x14ac:dyDescent="0.3">
      <c r="A1" s="33" t="s">
        <v>339</v>
      </c>
      <c r="B1" s="33">
        <v>2024</v>
      </c>
      <c r="C1" s="33">
        <v>2025</v>
      </c>
      <c r="D1" s="33">
        <v>2026</v>
      </c>
      <c r="E1" s="33">
        <v>2027</v>
      </c>
      <c r="F1" s="33">
        <v>2028</v>
      </c>
      <c r="G1" s="33">
        <v>2029</v>
      </c>
      <c r="H1" s="33">
        <v>2030</v>
      </c>
      <c r="I1" s="33" t="s">
        <v>708</v>
      </c>
    </row>
    <row r="2" spans="1:10" x14ac:dyDescent="0.25">
      <c r="A2" s="16" t="s">
        <v>786</v>
      </c>
      <c r="B2" s="49">
        <f>+SUM(B3:B7)</f>
        <v>383000</v>
      </c>
      <c r="C2" s="49">
        <f t="shared" ref="C2:H2" si="0">+SUM(C3:C7)</f>
        <v>41252000</v>
      </c>
      <c r="D2" s="49">
        <f t="shared" si="0"/>
        <v>73176000</v>
      </c>
      <c r="E2" s="49">
        <f t="shared" si="0"/>
        <v>105200000</v>
      </c>
      <c r="F2" s="49">
        <f t="shared" si="0"/>
        <v>158987000</v>
      </c>
      <c r="G2" s="49">
        <f t="shared" si="0"/>
        <v>210878000</v>
      </c>
      <c r="H2" s="49">
        <f t="shared" si="0"/>
        <v>281274000</v>
      </c>
      <c r="I2" s="49">
        <f>SUM(B2:H2)</f>
        <v>871150000</v>
      </c>
    </row>
    <row r="3" spans="1:10" x14ac:dyDescent="0.25">
      <c r="A3" s="14" t="s">
        <v>743</v>
      </c>
      <c r="B3" s="31">
        <f>+'StG 1'!AD4</f>
        <v>50000</v>
      </c>
      <c r="C3" s="31">
        <f>+'StG 1'!AE4</f>
        <v>21524000</v>
      </c>
      <c r="D3" s="31">
        <f>+'StG 1'!AF4</f>
        <v>47947000</v>
      </c>
      <c r="E3" s="31">
        <f>+'StG 1'!AG4</f>
        <v>59534000</v>
      </c>
      <c r="F3" s="31">
        <f>+'StG 1'!AH4</f>
        <v>100429000</v>
      </c>
      <c r="G3" s="31">
        <f>+'StG 1'!AI4</f>
        <v>138572000</v>
      </c>
      <c r="H3" s="31">
        <f>+'StG 1'!AJ4</f>
        <v>191677000</v>
      </c>
      <c r="I3" s="31">
        <f t="shared" ref="I3:I7" si="1">SUM(B3:H3)</f>
        <v>559733000</v>
      </c>
    </row>
    <row r="4" spans="1:10" x14ac:dyDescent="0.25">
      <c r="A4" s="14" t="s">
        <v>765</v>
      </c>
      <c r="B4" s="31">
        <f>+'StG 2'!AD4</f>
        <v>53000</v>
      </c>
      <c r="C4" s="31">
        <f>+'StG 2'!AE4</f>
        <v>13640000</v>
      </c>
      <c r="D4" s="31">
        <f>+'StG 2'!AF4</f>
        <v>19002000</v>
      </c>
      <c r="E4" s="31">
        <f>+'StG 2'!AG4</f>
        <v>29758000</v>
      </c>
      <c r="F4" s="31">
        <f>+'StG 2'!AH4</f>
        <v>41489000</v>
      </c>
      <c r="G4" s="31">
        <f>+'StG 2'!AI4</f>
        <v>53919000</v>
      </c>
      <c r="H4" s="31">
        <f>+'StG 2'!AJ4</f>
        <v>69565000</v>
      </c>
      <c r="I4" s="31">
        <f t="shared" si="1"/>
        <v>227426000</v>
      </c>
    </row>
    <row r="5" spans="1:10" x14ac:dyDescent="0.25">
      <c r="A5" s="14" t="s">
        <v>778</v>
      </c>
      <c r="B5" s="31">
        <f>+'StG 3'!AD4</f>
        <v>70000</v>
      </c>
      <c r="C5" s="31">
        <f>+'StG 3'!AE4</f>
        <v>3851000</v>
      </c>
      <c r="D5" s="31">
        <f>+'StG 3'!AF4</f>
        <v>4254000</v>
      </c>
      <c r="E5" s="31">
        <f>+'StG 3'!AG4</f>
        <v>5456000</v>
      </c>
      <c r="F5" s="31">
        <f>+'StG 3'!AH4</f>
        <v>6905000</v>
      </c>
      <c r="G5" s="31">
        <f>+'StG 3'!AI4</f>
        <v>8425000</v>
      </c>
      <c r="H5" s="31">
        <f>+'StG 3'!AJ4</f>
        <v>10286000</v>
      </c>
      <c r="I5" s="31">
        <f t="shared" si="1"/>
        <v>39247000</v>
      </c>
    </row>
    <row r="6" spans="1:10" x14ac:dyDescent="0.25">
      <c r="A6" s="14" t="s">
        <v>781</v>
      </c>
      <c r="B6" s="31">
        <f>+'StG 4'!AD4</f>
        <v>30000</v>
      </c>
      <c r="C6" s="31">
        <f>+'StG 4'!AE4</f>
        <v>1548000</v>
      </c>
      <c r="D6" s="31">
        <f>+'StG 4'!AF4</f>
        <v>1403000</v>
      </c>
      <c r="E6" s="31">
        <f>+'StG 4'!AG4</f>
        <v>9990000</v>
      </c>
      <c r="F6" s="31">
        <f>+'StG 4'!AH4</f>
        <v>9720000</v>
      </c>
      <c r="G6" s="31">
        <f>+'StG 4'!AI4</f>
        <v>9450000</v>
      </c>
      <c r="H6" s="31">
        <f>+'StG 4'!AJ4</f>
        <v>9180000</v>
      </c>
      <c r="I6" s="31">
        <f t="shared" si="1"/>
        <v>41321000</v>
      </c>
    </row>
    <row r="7" spans="1:10" x14ac:dyDescent="0.25">
      <c r="A7" s="14" t="s">
        <v>782</v>
      </c>
      <c r="B7" s="31">
        <f>+'StG 5'!AD4</f>
        <v>180000</v>
      </c>
      <c r="C7" s="31">
        <f>+'StG 5'!AE4</f>
        <v>689000</v>
      </c>
      <c r="D7" s="31">
        <f>+'StG 5'!AF4</f>
        <v>570000</v>
      </c>
      <c r="E7" s="31">
        <f>+'StG 5'!AG4</f>
        <v>462000</v>
      </c>
      <c r="F7" s="31">
        <f>+'StG 5'!AH4</f>
        <v>444000</v>
      </c>
      <c r="G7" s="31">
        <f>+'StG 5'!AI4</f>
        <v>512000</v>
      </c>
      <c r="H7" s="31">
        <f>+'StG 5'!AJ4</f>
        <v>566000</v>
      </c>
      <c r="I7" s="31">
        <f t="shared" si="1"/>
        <v>3423000</v>
      </c>
    </row>
    <row r="8" spans="1:10" ht="30" x14ac:dyDescent="0.25">
      <c r="A8" s="19" t="s">
        <v>787</v>
      </c>
      <c r="B8" s="31"/>
      <c r="C8" s="31"/>
      <c r="D8" s="31"/>
      <c r="E8" s="31"/>
      <c r="F8" s="31"/>
      <c r="G8" s="31"/>
      <c r="H8" s="31"/>
      <c r="I8" s="31"/>
    </row>
    <row r="9" spans="1:10" x14ac:dyDescent="0.25">
      <c r="A9" s="14" t="s">
        <v>788</v>
      </c>
      <c r="B9" s="31"/>
      <c r="C9" s="31"/>
      <c r="D9" s="31"/>
      <c r="E9" s="31"/>
      <c r="F9" s="31"/>
      <c r="G9" s="31"/>
      <c r="H9" s="31"/>
      <c r="I9" s="31">
        <f>+SUM(B3:H3)</f>
        <v>559733000</v>
      </c>
      <c r="J9" s="20">
        <f>+I9/SUM($I$9:$I$13)</f>
        <v>0.64252195373931009</v>
      </c>
    </row>
    <row r="10" spans="1:10" x14ac:dyDescent="0.25">
      <c r="A10" s="14" t="s">
        <v>789</v>
      </c>
      <c r="B10" s="31"/>
      <c r="C10" s="31"/>
      <c r="D10" s="31"/>
      <c r="E10" s="31"/>
      <c r="F10" s="31"/>
      <c r="G10" s="31"/>
      <c r="H10" s="31"/>
      <c r="I10" s="31">
        <f t="shared" ref="I10:I13" si="2">+SUM(B4:H4)</f>
        <v>227426000</v>
      </c>
      <c r="J10" s="20">
        <f t="shared" ref="J10:J13" si="3">+I10/SUM($I$9:$I$13)</f>
        <v>0.26106411065832519</v>
      </c>
    </row>
    <row r="11" spans="1:10" x14ac:dyDescent="0.25">
      <c r="A11" s="14" t="s">
        <v>790</v>
      </c>
      <c r="B11" s="31"/>
      <c r="C11" s="31"/>
      <c r="D11" s="31"/>
      <c r="E11" s="31"/>
      <c r="F11" s="31"/>
      <c r="G11" s="31"/>
      <c r="H11" s="31"/>
      <c r="I11" s="31">
        <f t="shared" si="2"/>
        <v>39247000</v>
      </c>
      <c r="J11" s="20">
        <f t="shared" si="3"/>
        <v>4.5051942834184698E-2</v>
      </c>
    </row>
    <row r="12" spans="1:10" x14ac:dyDescent="0.25">
      <c r="A12" s="14" t="s">
        <v>791</v>
      </c>
      <c r="B12" s="31"/>
      <c r="C12" s="31"/>
      <c r="D12" s="31"/>
      <c r="E12" s="31"/>
      <c r="F12" s="31"/>
      <c r="G12" s="31"/>
      <c r="H12" s="31"/>
      <c r="I12" s="31">
        <f t="shared" si="2"/>
        <v>41321000</v>
      </c>
      <c r="J12" s="20">
        <f t="shared" si="3"/>
        <v>4.7432703897147446E-2</v>
      </c>
    </row>
    <row r="13" spans="1:10" x14ac:dyDescent="0.25">
      <c r="A13" s="14" t="s">
        <v>792</v>
      </c>
      <c r="B13" s="31"/>
      <c r="C13" s="31"/>
      <c r="D13" s="31"/>
      <c r="E13" s="31"/>
      <c r="F13" s="31"/>
      <c r="G13" s="31"/>
      <c r="H13" s="31"/>
      <c r="I13" s="31">
        <f t="shared" si="2"/>
        <v>3423000</v>
      </c>
      <c r="J13" s="20">
        <f t="shared" si="3"/>
        <v>3.9292888710325434E-3</v>
      </c>
    </row>
    <row r="14" spans="1:10" ht="30" x14ac:dyDescent="0.25">
      <c r="A14" s="19" t="s">
        <v>793</v>
      </c>
      <c r="B14" s="49">
        <f>+SUM(B15:B19)</f>
        <v>263000</v>
      </c>
      <c r="C14" s="49">
        <f>+SUM(C15:C19)</f>
        <v>35148000</v>
      </c>
      <c r="D14" s="49">
        <f t="shared" ref="D14:G14" si="4">+SUM(D15:D19)</f>
        <v>64852000</v>
      </c>
      <c r="E14" s="49">
        <f t="shared" si="4"/>
        <v>85301000</v>
      </c>
      <c r="F14" s="49">
        <f t="shared" si="4"/>
        <v>135988000</v>
      </c>
      <c r="G14" s="49">
        <f t="shared" si="4"/>
        <v>184813000</v>
      </c>
      <c r="H14" s="49">
        <f>+SUM(H15:H19)</f>
        <v>251120000</v>
      </c>
      <c r="I14" s="49">
        <f>+SUM(I15:I19)</f>
        <v>757485000</v>
      </c>
      <c r="J14" s="20"/>
    </row>
    <row r="15" spans="1:10" x14ac:dyDescent="0.25">
      <c r="A15" s="14" t="s">
        <v>736</v>
      </c>
      <c r="B15" s="31">
        <f>+SUMIF('StG 1'!$D$11:$D$129,$A15,'StG 1'!AD$11:AD$129)+SUMIF('StG 2'!$D$11:$D$53,$A15,'StG 2'!AD$11:AD$53)+SUMIF('StG 3'!$D$10:$D$50,$A15,'StG 3'!AD$10:AD$50)+SUMIF('StG 4'!$D$10:$D$20,$A15,'StG 4'!AD$10:AD$20)+SUMIF('StG 5'!$D$8:$D$40,$A15,'StG 5'!AD$8:AD$40)+'StG 2'!AD28</f>
        <v>213000</v>
      </c>
      <c r="C15" s="31">
        <f>+SUMIF('StG 1'!$D$11:$D$129,$A15,'StG 1'!AE$11:AE$129)+SUMIF('StG 2'!$D$11:$D$53,$A15,'StG 2'!AE$11:AE$53)+SUMIF('StG 3'!$D$10:$D$50,$A15,'StG 3'!AE$10:AE$50)+SUMIF('StG 4'!$D$10:$D$20,$A15,'StG 4'!AE$10:AE$20)+SUMIF('StG 5'!$D$8:$D$40,$A15,'StG 5'!AE$8:AE$40)+'StG 2'!AE28</f>
        <v>22167000</v>
      </c>
      <c r="D15" s="31">
        <f>+SUMIF('StG 1'!$D$11:$D$129,$A15,'StG 1'!AF$11:AF$129)+SUMIF('StG 2'!$D$11:$D$53,$A15,'StG 2'!AF$11:AF$53)+SUMIF('StG 3'!$D$10:$D$50,$A15,'StG 3'!AF$10:AF$50)+SUMIF('StG 4'!$D$10:$D$20,$A15,'StG 4'!AF$10:AF$20)+SUMIF('StG 5'!$D$8:$D$40,$A15,'StG 5'!AF$8:AF$40)+'StG 2'!AF28</f>
        <v>29403000</v>
      </c>
      <c r="E15" s="31">
        <f>+SUMIF('StG 1'!$D$11:$D$129,$A15,'StG 1'!AG$11:AG$129)+SUMIF('StG 2'!$D$11:$D$53,$A15,'StG 2'!AG$11:AG$53)+SUMIF('StG 3'!$D$10:$D$50,$A15,'StG 3'!AG$10:AG$50)+SUMIF('StG 4'!$D$10:$D$20,$A15,'StG 4'!AG$10:AG$20)+SUMIF('StG 5'!$D$8:$D$40,$A15,'StG 5'!AG$8:AG$40)+'StG 2'!AG28</f>
        <v>34324000</v>
      </c>
      <c r="F15" s="31">
        <f>+SUMIF('StG 1'!$D$11:$D$129,$A15,'StG 1'!AH$11:AH$129)+SUMIF('StG 2'!$D$11:$D$53,$A15,'StG 2'!AH$11:AH$53)+SUMIF('StG 3'!$D$10:$D$50,$A15,'StG 3'!AH$10:AH$50)+SUMIF('StG 4'!$D$10:$D$20,$A15,'StG 4'!AH$10:AH$20)+SUMIF('StG 5'!$D$8:$D$40,$A15,'StG 5'!AH$8:AH$40)+'StG 2'!AH28</f>
        <v>42307000</v>
      </c>
      <c r="G15" s="31">
        <f>+SUMIF('StG 1'!$D$11:$D$129,$A15,'StG 1'!AI$11:AI$129)+SUMIF('StG 2'!$D$11:$D$53,$A15,'StG 2'!AI$11:AI$53)+SUMIF('StG 3'!$D$10:$D$50,$A15,'StG 3'!AI$10:AI$50)+SUMIF('StG 4'!$D$10:$D$20,$A15,'StG 4'!AI$10:AI$20)+SUMIF('StG 5'!$D$8:$D$40,$A15,'StG 5'!AI$8:AI$40)+'StG 2'!AI28</f>
        <v>56330000</v>
      </c>
      <c r="H15" s="31">
        <f>+SUMIF('StG 1'!$D$11:$D$129,$A15,'StG 1'!AJ$11:AJ$129)+SUMIF('StG 2'!$D$11:$D$53,$A15,'StG 2'!AJ$11:AJ$53)+SUMIF('StG 3'!$D$10:$D$50,$A15,'StG 3'!AJ$10:AJ$50)+SUMIF('StG 4'!$D$10:$D$20,$A15,'StG 4'!AJ$10:AJ$20)+SUMIF('StG 5'!$D$8:$D$40,$A15,'StG 5'!AJ$8:AJ$40)+'StG 2'!AJ28</f>
        <v>70655000</v>
      </c>
      <c r="I15" s="31">
        <f>SUM(B15:H15)</f>
        <v>255399000</v>
      </c>
      <c r="J15" s="20">
        <f>I15/$I$14</f>
        <v>0.33716707261529932</v>
      </c>
    </row>
    <row r="16" spans="1:10" x14ac:dyDescent="0.25">
      <c r="A16" s="14" t="s">
        <v>740</v>
      </c>
      <c r="B16" s="31">
        <f>+SUMIF('StG 1'!$D$11:$D$129,$A16,'StG 1'!AD$11:AD$129)+SUMIF('StG 2'!$D$11:$D$53,$A16,'StG 2'!AD$11:AD$53)+SUMIF('StG 3'!$D$10:$D$50,$A16,'StG 3'!AD$10:AD$50)+SUMIF('StG 4'!$D$10:$D$20,$A16,'StG 4'!AD$10:AD$20)+SUMIF('StG 5'!$D$8:$D$40,$A16,'StG 5'!AD$8:AD$40)</f>
        <v>0</v>
      </c>
      <c r="C16" s="31">
        <f>+SUMIF('StG 1'!$D$11:$D$129,$A16,'StG 1'!AE$11:AE$129)+SUMIF('StG 2'!$D$11:$D$53,$A16,'StG 2'!AE$11:AE$53)+SUMIF('StG 3'!$D$10:$D$50,$A16,'StG 3'!AE$10:AE$50)+SUMIF('StG 4'!$D$10:$D$20,$A16,'StG 4'!AE$10:AE$20)+SUMIF('StG 5'!$D$8:$D$40,$A16,'StG 5'!AE$8:AE$40)</f>
        <v>11671000</v>
      </c>
      <c r="D16" s="31">
        <f>+SUMIF('StG 1'!$D$11:$D$129,$A16,'StG 1'!AF$11:AF$129)+SUMIF('StG 2'!$D$11:$D$53,$A16,'StG 2'!AF$11:AF$53)+SUMIF('StG 3'!$D$10:$D$50,$A16,'StG 3'!AF$10:AF$50)+SUMIF('StG 4'!$D$10:$D$20,$A16,'StG 4'!AF$10:AF$20)+SUMIF('StG 5'!$D$8:$D$40,$A16,'StG 5'!AF$8:AF$40)</f>
        <v>32555000</v>
      </c>
      <c r="E16" s="31">
        <f>+SUMIF('StG 1'!$D$11:$D$129,$A16,'StG 1'!AG$11:AG$129)+SUMIF('StG 2'!$D$11:$D$53,$A16,'StG 2'!AG$11:AG$53)+SUMIF('StG 3'!$D$10:$D$50,$A16,'StG 3'!AG$10:AG$50)+SUMIF('StG 4'!$D$10:$D$20,$A16,'StG 4'!AG$10:AG$20)+SUMIF('StG 5'!$D$8:$D$40,$A16,'StG 5'!AG$8:AG$40)</f>
        <v>40423000</v>
      </c>
      <c r="F16" s="31">
        <f>+SUMIF('StG 1'!$D$11:$D$129,$A16,'StG 1'!AH$11:AH$129)+SUMIF('StG 2'!$D$11:$D$53,$A16,'StG 2'!AH$11:AH$53)+SUMIF('StG 3'!$D$10:$D$50,$A16,'StG 3'!AH$10:AH$50)+SUMIF('StG 4'!$D$10:$D$20,$A16,'StG 4'!AH$10:AH$20)+SUMIF('StG 5'!$D$8:$D$40,$A16,'StG 5'!AH$8:AH$40)</f>
        <v>74964000</v>
      </c>
      <c r="G16" s="31">
        <f>+SUMIF('StG 1'!$D$11:$D$129,$A16,'StG 1'!AI$11:AI$129)+SUMIF('StG 2'!$D$11:$D$53,$A16,'StG 2'!AI$11:AI$53)+SUMIF('StG 3'!$D$10:$D$50,$A16,'StG 3'!AI$10:AI$50)+SUMIF('StG 4'!$D$10:$D$20,$A16,'StG 4'!AI$10:AI$20)+SUMIF('StG 5'!$D$8:$D$40,$A16,'StG 5'!AI$8:AI$40)</f>
        <v>100666000</v>
      </c>
      <c r="H16" s="31">
        <f>+SUMIF('StG 1'!$D$11:$D$129,$A16,'StG 1'!AJ$11:AJ$129)+SUMIF('StG 2'!$D$11:$D$53,$A16,'StG 2'!AJ$11:AJ$53)+SUMIF('StG 3'!$D$10:$D$50,$A16,'StG 3'!AJ$10:AJ$50)+SUMIF('StG 4'!$D$10:$D$20,$A16,'StG 4'!AJ$10:AJ$20)+SUMIF('StG 5'!$D$8:$D$40,$A16,'StG 5'!AJ$8:AJ$40)</f>
        <v>142830000</v>
      </c>
      <c r="I16" s="31">
        <f t="shared" ref="I16:I28" si="5">SUM(B16:H16)</f>
        <v>403109000</v>
      </c>
      <c r="J16" s="20">
        <f t="shared" ref="J16:J19" si="6">I16/$I$14</f>
        <v>0.53216763368251518</v>
      </c>
    </row>
    <row r="17" spans="1:10" x14ac:dyDescent="0.25">
      <c r="A17" s="14" t="s">
        <v>738</v>
      </c>
      <c r="B17" s="31">
        <f>+SUMIF('StG 1'!$D$11:$D$129,$A17,'StG 1'!AD$11:AD$129)+SUMIF('StG 2'!$D$11:$D$53,$A17,'StG 2'!AD$11:AD$53)+SUMIF('StG 3'!$D$10:$D$50,$A17,'StG 3'!AD$10:AD$50)+SUMIF('StG 4'!$D$10:$D$20,$A17,'StG 4'!AD$10:AD$20)+SUMIF('StG 5'!$D$8:$D$40,$A17,'StG 5'!AD$8:AD$40)</f>
        <v>0</v>
      </c>
      <c r="C17" s="31">
        <f>+SUMIF('StG 1'!$D$11:$D$129,$A17,'StG 1'!AE$11:AE$129)+SUMIF('StG 2'!$D$11:$D$53,$A17,'StG 2'!AE$11:AE$53)+SUMIF('StG 3'!$D$10:$D$50,$A17,'StG 3'!AE$10:AE$50)+SUMIF('StG 4'!$D$10:$D$20,$A17,'StG 4'!AE$10:AE$20)+SUMIF('StG 5'!$D$8:$D$40,$A17,'StG 5'!AE$8:AE$40)</f>
        <v>1065000</v>
      </c>
      <c r="D17" s="31">
        <f>+SUMIF('StG 1'!$D$11:$D$129,$A17,'StG 1'!AF$11:AF$129)+SUMIF('StG 2'!$D$11:$D$53,$A17,'StG 2'!AF$11:AF$53)+SUMIF('StG 3'!$D$10:$D$50,$A17,'StG 3'!AF$10:AF$50)+SUMIF('StG 4'!$D$10:$D$20,$A17,'StG 4'!AF$10:AF$20)+SUMIF('StG 5'!$D$8:$D$40,$A17,'StG 5'!AF$8:AF$40)</f>
        <v>2429000</v>
      </c>
      <c r="E17" s="31">
        <f>+SUMIF('StG 1'!$D$11:$D$129,$A17,'StG 1'!AG$11:AG$129)+SUMIF('StG 2'!$D$11:$D$53,$A17,'StG 2'!AG$11:AG$53)+SUMIF('StG 3'!$D$10:$D$50,$A17,'StG 3'!AG$10:AG$50)+SUMIF('StG 4'!$D$10:$D$20,$A17,'StG 4'!AG$10:AG$20)+SUMIF('StG 5'!$D$8:$D$40,$A17,'StG 5'!AG$8:AG$40)</f>
        <v>9719000</v>
      </c>
      <c r="F17" s="31">
        <f>+SUMIF('StG 1'!$D$11:$D$129,$A17,'StG 1'!AH$11:AH$129)+SUMIF('StG 2'!$D$11:$D$53,$A17,'StG 2'!AH$11:AH$53)+SUMIF('StG 3'!$D$10:$D$50,$A17,'StG 3'!AH$10:AH$50)+SUMIF('StG 4'!$D$10:$D$20,$A17,'StG 4'!AH$10:AH$20)+SUMIF('StG 5'!$D$8:$D$40,$A17,'StG 5'!AH$8:AH$40)</f>
        <v>17334000</v>
      </c>
      <c r="G17" s="31">
        <f>+SUMIF('StG 1'!$D$11:$D$129,$A17,'StG 1'!AI$11:AI$129)+SUMIF('StG 2'!$D$11:$D$53,$A17,'StG 2'!AI$11:AI$53)+SUMIF('StG 3'!$D$10:$D$50,$A17,'StG 3'!AI$10:AI$50)+SUMIF('StG 4'!$D$10:$D$20,$A17,'StG 4'!AI$10:AI$20)+SUMIF('StG 5'!$D$8:$D$40,$A17,'StG 5'!AI$8:AI$40)</f>
        <v>25761000</v>
      </c>
      <c r="H17" s="31">
        <f>+SUMIF('StG 1'!$D$11:$D$129,$A17,'StG 1'!AJ$11:AJ$129)+SUMIF('StG 2'!$D$11:$D$53,$A17,'StG 2'!AJ$11:AJ$53)+SUMIF('StG 3'!$D$10:$D$50,$A17,'StG 3'!AJ$10:AJ$50)+SUMIF('StG 4'!$D$10:$D$20,$A17,'StG 4'!AJ$10:AJ$20)+SUMIF('StG 5'!$D$8:$D$40,$A17,'StG 5'!AJ$8:AJ$40)</f>
        <v>34859000</v>
      </c>
      <c r="I17" s="31">
        <f t="shared" si="5"/>
        <v>91167000</v>
      </c>
      <c r="J17" s="20">
        <f t="shared" si="6"/>
        <v>0.12035485851204974</v>
      </c>
    </row>
    <row r="18" spans="1:10" x14ac:dyDescent="0.25">
      <c r="A18" s="14" t="s">
        <v>739</v>
      </c>
      <c r="B18" s="31">
        <f>+SUMIF('StG 1'!$D$11:$D$129,$A18,'StG 1'!AD$11:AD$129)+SUMIF('StG 2'!$D$11:$D$53,$A18,'StG 2'!AD$11:AD$53)+SUMIF('StG 3'!$D$10:$D$50,$A18,'StG 3'!AD$10:AD$50)+SUMIF('StG 4'!$D$10:$D$20,$A18,'StG 4'!AD$10:AD$20)+SUMIF('StG 5'!$D$8:$D$40,$A18,'StG 5'!AD$8:AD$40)</f>
        <v>0</v>
      </c>
      <c r="C18" s="31">
        <f>+SUMIF('StG 1'!$D$11:$D$129,$A18,'StG 1'!AE$11:AE$129)+SUMIF('StG 2'!$D$11:$D$53,$A18,'StG 2'!AE$11:AE$53)+SUMIF('StG 3'!$D$10:$D$50,$A18,'StG 3'!AE$10:AE$50)+SUMIF('StG 4'!$D$10:$D$20,$A18,'StG 4'!AE$10:AE$20)+SUMIF('StG 5'!$D$8:$D$40,$A18,'StG 5'!AE$8:AE$40)</f>
        <v>208000</v>
      </c>
      <c r="D18" s="31">
        <f>+SUMIF('StG 1'!$D$11:$D$129,$A18,'StG 1'!AF$11:AF$129)+SUMIF('StG 2'!$D$11:$D$53,$A18,'StG 2'!AF$11:AF$53)+SUMIF('StG 3'!$D$10:$D$50,$A18,'StG 3'!AF$10:AF$50)+SUMIF('StG 4'!$D$10:$D$20,$A18,'StG 4'!AF$10:AF$20)+SUMIF('StG 5'!$D$8:$D$40,$A18,'StG 5'!AF$8:AF$40)</f>
        <v>303000</v>
      </c>
      <c r="E18" s="31">
        <f>+SUMIF('StG 1'!$D$11:$D$129,$A18,'StG 1'!AG$11:AG$129)+SUMIF('StG 2'!$D$11:$D$53,$A18,'StG 2'!AG$11:AG$53)+SUMIF('StG 3'!$D$10:$D$50,$A18,'StG 3'!AG$10:AG$50)+SUMIF('StG 4'!$D$10:$D$20,$A18,'StG 4'!AG$10:AG$20)+SUMIF('StG 5'!$D$8:$D$40,$A18,'StG 5'!AG$8:AG$40)</f>
        <v>315000</v>
      </c>
      <c r="F18" s="31">
        <f>+SUMIF('StG 1'!$D$11:$D$129,$A18,'StG 1'!AH$11:AH$129)+SUMIF('StG 2'!$D$11:$D$53,$A18,'StG 2'!AH$11:AH$53)+SUMIF('StG 3'!$D$10:$D$50,$A18,'StG 3'!AH$10:AH$50)+SUMIF('StG 4'!$D$10:$D$20,$A18,'StG 4'!AH$10:AH$20)+SUMIF('StG 5'!$D$8:$D$40,$A18,'StG 5'!AH$8:AH$40)</f>
        <v>421000</v>
      </c>
      <c r="G18" s="31">
        <f>+SUMIF('StG 1'!$D$11:$D$129,$A18,'StG 1'!AI$11:AI$129)+SUMIF('StG 2'!$D$11:$D$53,$A18,'StG 2'!AI$11:AI$53)+SUMIF('StG 3'!$D$10:$D$50,$A18,'StG 3'!AI$10:AI$50)+SUMIF('StG 4'!$D$10:$D$20,$A18,'StG 4'!AI$10:AI$20)+SUMIF('StG 5'!$D$8:$D$40,$A18,'StG 5'!AI$8:AI$40)</f>
        <v>487000</v>
      </c>
      <c r="H18" s="31">
        <f>+SUMIF('StG 1'!$D$11:$D$129,$A18,'StG 1'!AJ$11:AJ$129)+SUMIF('StG 2'!$D$11:$D$53,$A18,'StG 2'!AJ$11:AJ$53)+SUMIF('StG 3'!$D$10:$D$50,$A18,'StG 3'!AJ$10:AJ$50)+SUMIF('StG 4'!$D$10:$D$20,$A18,'StG 4'!AJ$10:AJ$20)+SUMIF('StG 5'!$D$8:$D$40,$A18,'StG 5'!AJ$8:AJ$40)</f>
        <v>506000</v>
      </c>
      <c r="I18" s="31">
        <f t="shared" si="5"/>
        <v>2240000</v>
      </c>
      <c r="J18" s="20">
        <f t="shared" si="6"/>
        <v>2.9571542670811962E-3</v>
      </c>
    </row>
    <row r="19" spans="1:10" x14ac:dyDescent="0.25">
      <c r="A19" s="14" t="s">
        <v>741</v>
      </c>
      <c r="B19" s="31">
        <f>+SUMIF('StG 1'!$D$11:$D$129,$A19,'StG 1'!AD$11:AD$129)+SUMIF('StG 2'!$D$11:$D$53,$A19,'StG 2'!AD$11:AD$53)+SUMIF('StG 3'!$D$10:$D$50,$A19,'StG 3'!AD$10:AD$50)+SUMIF('StG 4'!$D$10:$D$20,$A19,'StG 4'!AD$10:AD$20)+SUMIF('StG 5'!$D$8:$D$40,$A19,'StG 5'!AD$8:AD$40)</f>
        <v>50000</v>
      </c>
      <c r="C19" s="31">
        <f>+SUMIF('StG 1'!$D$11:$D$129,$A19,'StG 1'!AE$11:AE$129)+SUMIF('StG 2'!$D$11:$D$53,$A19,'StG 2'!AE$11:AE$53)+SUMIF('StG 3'!$D$10:$D$50,$A19,'StG 3'!AE$10:AE$50)+SUMIF('StG 4'!$D$10:$D$20,$A19,'StG 4'!AE$10:AE$20)+SUMIF('StG 5'!$D$8:$D$40,$A19,'StG 5'!AE$8:AE$40)</f>
        <v>37000</v>
      </c>
      <c r="D19" s="31">
        <f>+SUMIF('StG 1'!$D$11:$D$129,$A19,'StG 1'!AF$11:AF$129)+SUMIF('StG 2'!$D$11:$D$53,$A19,'StG 2'!AF$11:AF$53)+SUMIF('StG 3'!$D$10:$D$50,$A19,'StG 3'!AF$10:AF$50)+SUMIF('StG 4'!$D$10:$D$20,$A19,'StG 4'!AF$10:AF$20)+SUMIF('StG 5'!$D$8:$D$40,$A19,'StG 5'!AF$8:AF$40)</f>
        <v>162000</v>
      </c>
      <c r="E19" s="31">
        <f>+SUMIF('StG 1'!$D$11:$D$129,$A19,'StG 1'!AG$11:AG$129)+SUMIF('StG 2'!$D$11:$D$53,$A19,'StG 2'!AG$11:AG$53)+SUMIF('StG 3'!$D$10:$D$50,$A19,'StG 3'!AG$10:AG$50)+SUMIF('StG 4'!$D$10:$D$20,$A19,'StG 4'!AG$10:AG$20)+SUMIF('StG 5'!$D$8:$D$40,$A19,'StG 5'!AG$8:AG$40)</f>
        <v>520000</v>
      </c>
      <c r="F19" s="31">
        <f>+SUMIF('StG 1'!$D$11:$D$129,$A19,'StG 1'!AH$11:AH$129)+SUMIF('StG 2'!$D$11:$D$53,$A19,'StG 2'!AH$11:AH$53)+SUMIF('StG 3'!$D$10:$D$50,$A19,'StG 3'!AH$10:AH$50)+SUMIF('StG 4'!$D$10:$D$20,$A19,'StG 4'!AH$10:AH$20)+SUMIF('StG 5'!$D$8:$D$40,$A19,'StG 5'!AH$8:AH$40)</f>
        <v>962000</v>
      </c>
      <c r="G19" s="31">
        <f>+SUMIF('StG 1'!$D$11:$D$129,$A19,'StG 1'!AI$11:AI$129)+SUMIF('StG 2'!$D$11:$D$53,$A19,'StG 2'!AI$11:AI$53)+SUMIF('StG 3'!$D$10:$D$50,$A19,'StG 3'!AI$10:AI$50)+SUMIF('StG 4'!$D$10:$D$20,$A19,'StG 4'!AI$10:AI$20)+SUMIF('StG 5'!$D$8:$D$40,$A19,'StG 5'!AI$8:AI$40)</f>
        <v>1569000</v>
      </c>
      <c r="H19" s="31">
        <f>+SUMIF('StG 1'!$D$11:$D$129,$A19,'StG 1'!AJ$11:AJ$129)+SUMIF('StG 2'!$D$11:$D$53,$A19,'StG 2'!AJ$11:AJ$53)+SUMIF('StG 3'!$D$10:$D$50,$A19,'StG 3'!AJ$10:AJ$50)+SUMIF('StG 4'!$D$10:$D$20,$A19,'StG 4'!AJ$10:AJ$20)+SUMIF('StG 5'!$D$8:$D$40,$A19,'StG 5'!AJ$8:AJ$40)</f>
        <v>2270000</v>
      </c>
      <c r="I19" s="31">
        <f t="shared" si="5"/>
        <v>5570000</v>
      </c>
      <c r="J19" s="20">
        <f t="shared" si="6"/>
        <v>7.3532809230545818E-3</v>
      </c>
    </row>
    <row r="20" spans="1:10" x14ac:dyDescent="0.25">
      <c r="A20" s="14"/>
      <c r="B20" s="31"/>
      <c r="C20" s="31"/>
      <c r="D20" s="31"/>
      <c r="E20" s="31"/>
      <c r="F20" s="31"/>
      <c r="G20" s="31"/>
      <c r="H20" s="31"/>
      <c r="I20" s="31"/>
    </row>
    <row r="21" spans="1:10" ht="30" x14ac:dyDescent="0.25">
      <c r="A21" s="19" t="s">
        <v>794</v>
      </c>
      <c r="B21" s="49">
        <f>+SUM(B22:B28)</f>
        <v>0</v>
      </c>
      <c r="C21" s="49">
        <f>+SUM(C22:C28)</f>
        <v>0</v>
      </c>
      <c r="D21" s="49">
        <f t="shared" ref="D21:H21" si="7">+SUM(D22:D28)</f>
        <v>0</v>
      </c>
      <c r="E21" s="49">
        <f t="shared" si="7"/>
        <v>0</v>
      </c>
      <c r="F21" s="49">
        <f t="shared" si="7"/>
        <v>0</v>
      </c>
      <c r="G21" s="49">
        <f t="shared" si="7"/>
        <v>0</v>
      </c>
      <c r="H21" s="49">
        <f t="shared" si="7"/>
        <v>0</v>
      </c>
      <c r="I21" s="49">
        <f>+SUM(I22:I28)</f>
        <v>0</v>
      </c>
    </row>
    <row r="22" spans="1:10" x14ac:dyDescent="0.25">
      <c r="A22" s="14" t="s">
        <v>795</v>
      </c>
      <c r="B22" s="31">
        <f>+SUMIF('StG 1'!$AM$11:$AM$129,$J22,'StG 1'!AD$11:AD$129)+SUMIF('StG 2'!$AM$11:$AM$53,$J22,'StG 2'!AD$11:AD$53)+SUMIF('StG 3'!$AM$10:$AM$50,$J22,'StG 3'!AD$10:AD$50)+SUMIF('StG 4'!$AM$10:$AM$20,$J22,'StG 4'!AD$10:AD$20)+SUMIF('StG 5'!$AM$8:$AM$40,$J22,'StG 5'!AD$8:AD$40)</f>
        <v>0</v>
      </c>
      <c r="C22" s="31">
        <f>+SUMIF('StG 1'!$AM$11:$AM$129,$J22,'StG 1'!AE$11:AE$129)+SUMIF('StG 2'!$AM$11:$AM$53,$J22,'StG 2'!AE$11:AE$53)+SUMIF('StG 3'!$AM$10:$AM$50,$J22,'StG 3'!AE$10:AE$50)+SUMIF('StG 4'!$AM$10:$AM$20,$J22,'StG 4'!AE$10:AE$20)+SUMIF('StG 5'!$AM$8:$AM$40,$J22,'StG 5'!AE$8:AE$40)</f>
        <v>0</v>
      </c>
      <c r="D22" s="31">
        <f>+SUMIF('StG 1'!$AM$11:$AM$129,$J22,'StG 1'!AF$11:AF$129)+SUMIF('StG 2'!$AM$11:$AM$53,$J22,'StG 2'!AF$11:AF$53)+SUMIF('StG 3'!$AM$10:$AM$50,$J22,'StG 3'!AF$10:AF$50)+SUMIF('StG 4'!$AM$10:$AM$20,$J22,'StG 4'!AF$10:AF$20)+SUMIF('StG 5'!$AM$8:$AM$40,$J22,'StG 5'!AF$8:AF$40)</f>
        <v>0</v>
      </c>
      <c r="E22" s="31">
        <f>+SUMIF('StG 1'!$AM$11:$AM$129,$J22,'StG 1'!AG$11:AG$129)+SUMIF('StG 2'!$AM$11:$AM$53,$J22,'StG 2'!AG$11:AG$53)+SUMIF('StG 3'!$AM$10:$AM$50,$J22,'StG 3'!AG$10:AG$50)+SUMIF('StG 4'!$AM$10:$AM$20,$J22,'StG 4'!AG$10:AG$20)+SUMIF('StG 5'!$AM$8:$AM$40,$J22,'StG 5'!AG$8:AG$40)</f>
        <v>0</v>
      </c>
      <c r="F22" s="31">
        <f>+SUMIF('StG 1'!$AM$11:$AM$129,$J22,'StG 1'!AH$11:AH$129)+SUMIF('StG 2'!$AM$11:$AM$53,$J22,'StG 2'!AH$11:AH$53)+SUMIF('StG 3'!$AM$10:$AM$50,$J22,'StG 3'!AH$10:AH$50)+SUMIF('StG 4'!$AM$10:$AM$20,$J22,'StG 4'!AH$10:AH$20)+SUMIF('StG 5'!$AM$8:$AM$40,$J22,'StG 5'!AH$8:AH$40)</f>
        <v>0</v>
      </c>
      <c r="G22" s="31">
        <f>+SUMIF('StG 1'!$AM$11:$AM$129,$J22,'StG 1'!AI$11:AI$129)+SUMIF('StG 2'!$AM$11:$AM$53,$J22,'StG 2'!AI$11:AI$53)+SUMIF('StG 3'!$AM$10:$AM$50,$J22,'StG 3'!AI$10:AI$50)+SUMIF('StG 4'!$AM$10:$AM$20,$J22,'StG 4'!AI$10:AI$20)+SUMIF('StG 5'!$AM$8:$AM$40,$J22,'StG 5'!AI$8:AI$40)</f>
        <v>0</v>
      </c>
      <c r="H22" s="31">
        <f>+SUMIF('StG 1'!$AM$11:$AM$129,$J22,'StG 1'!AJ$11:AJ$129)+SUMIF('StG 2'!$AM$11:$AM$53,$J22,'StG 2'!AJ$11:AJ$53)+SUMIF('StG 3'!$AM$10:$AM$50,$J22,'StG 3'!AJ$10:AJ$50)+SUMIF('StG 4'!$AM$10:$AM$20,$J22,'StG 4'!AJ$10:AJ$20)+SUMIF('StG 5'!$AM$8:$AM$40,$J22,'StG 5'!AJ$8:AJ$40)</f>
        <v>0</v>
      </c>
      <c r="I22" s="31">
        <f>SUM(B22:H22)</f>
        <v>0</v>
      </c>
      <c r="J22">
        <v>1</v>
      </c>
    </row>
    <row r="23" spans="1:10" x14ac:dyDescent="0.25">
      <c r="A23" s="14" t="s">
        <v>796</v>
      </c>
      <c r="B23" s="31">
        <f>+SUMIF('StG 1'!$AM$11:$AM$129,$J23,'StG 1'!AD$11:AD$129)+SUMIF('StG 2'!$AM$11:$AM$53,$J23,'StG 2'!AD$11:AD$53)+SUMIF('StG 3'!$AM$10:$AM$50,$J23,'StG 3'!AD$10:AD$50)+SUMIF('StG 4'!$AM$10:$AM$20,$J23,'StG 4'!AD$10:AD$20)+SUMIF('StG 5'!$AM$8:$AM$40,$J23,'StG 5'!AD$8:AD$40)</f>
        <v>0</v>
      </c>
      <c r="C23" s="31">
        <f>+SUMIF('StG 1'!$AM$11:$AM$129,$J23,'StG 1'!AE$11:AE$129)+SUMIF('StG 2'!$AM$11:$AM$53,$J23,'StG 2'!AE$11:AE$53)+SUMIF('StG 3'!$AM$10:$AM$50,$J23,'StG 3'!AE$10:AE$50)+SUMIF('StG 4'!$AM$10:$AM$20,$J23,'StG 4'!AE$10:AE$20)+SUMIF('StG 5'!$AM$8:$AM$40,$J23,'StG 5'!AE$8:AE$40)</f>
        <v>0</v>
      </c>
      <c r="D23" s="31">
        <f>+SUMIF('StG 1'!$AM$11:$AM$129,$J23,'StG 1'!AF$11:AF$129)+SUMIF('StG 2'!$AM$11:$AM$53,$J23,'StG 2'!AF$11:AF$53)+SUMIF('StG 3'!$AM$10:$AM$50,$J23,'StG 3'!AF$10:AF$50)+SUMIF('StG 4'!$AM$10:$AM$20,$J23,'StG 4'!AF$10:AF$20)+SUMIF('StG 5'!$AM$8:$AM$40,$J23,'StG 5'!AF$8:AF$40)</f>
        <v>0</v>
      </c>
      <c r="E23" s="31">
        <f>+SUMIF('StG 1'!$AM$11:$AM$129,$J23,'StG 1'!AG$11:AG$129)+SUMIF('StG 2'!$AM$11:$AM$53,$J23,'StG 2'!AG$11:AG$53)+SUMIF('StG 3'!$AM$10:$AM$50,$J23,'StG 3'!AG$10:AG$50)+SUMIF('StG 4'!$AM$10:$AM$20,$J23,'StG 4'!AG$10:AG$20)+SUMIF('StG 5'!$AM$8:$AM$40,$J23,'StG 5'!AG$8:AG$40)</f>
        <v>0</v>
      </c>
      <c r="F23" s="31">
        <f>+SUMIF('StG 1'!$AM$11:$AM$129,$J23,'StG 1'!AH$11:AH$129)+SUMIF('StG 2'!$AM$11:$AM$53,$J23,'StG 2'!AH$11:AH$53)+SUMIF('StG 3'!$AM$10:$AM$50,$J23,'StG 3'!AH$10:AH$50)+SUMIF('StG 4'!$AM$10:$AM$20,$J23,'StG 4'!AH$10:AH$20)+SUMIF('StG 5'!$AM$8:$AM$40,$J23,'StG 5'!AH$8:AH$40)</f>
        <v>0</v>
      </c>
      <c r="G23" s="31">
        <f>+SUMIF('StG 1'!$AM$11:$AM$129,$J23,'StG 1'!AI$11:AI$129)+SUMIF('StG 2'!$AM$11:$AM$53,$J23,'StG 2'!AI$11:AI$53)+SUMIF('StG 3'!$AM$10:$AM$50,$J23,'StG 3'!AI$10:AI$50)+SUMIF('StG 4'!$AM$10:$AM$20,$J23,'StG 4'!AI$10:AI$20)+SUMIF('StG 5'!$AM$8:$AM$40,$J23,'StG 5'!AI$8:AI$40)</f>
        <v>0</v>
      </c>
      <c r="H23" s="31">
        <f>+SUMIF('StG 1'!$AM$11:$AM$129,$J23,'StG 1'!AJ$11:AJ$129)+SUMIF('StG 2'!$AM$11:$AM$53,$J23,'StG 2'!AJ$11:AJ$53)+SUMIF('StG 3'!$AM$10:$AM$50,$J23,'StG 3'!AJ$10:AJ$50)+SUMIF('StG 4'!$AM$10:$AM$20,$J23,'StG 4'!AJ$10:AJ$20)+SUMIF('StG 5'!$AM$8:$AM$40,$J23,'StG 5'!AJ$8:AJ$40)</f>
        <v>0</v>
      </c>
      <c r="I23" s="31">
        <f>SUM(B23:H23)</f>
        <v>0</v>
      </c>
      <c r="J23">
        <v>7</v>
      </c>
    </row>
    <row r="24" spans="1:10" x14ac:dyDescent="0.25">
      <c r="A24" s="14" t="s">
        <v>797</v>
      </c>
      <c r="B24" s="31">
        <f>+SUMIF('StG 1'!$AM$11:$AM$129,$J24,'StG 1'!AD$11:AD$129)+SUMIF('StG 2'!$AM$11:$AM$53,$J24,'StG 2'!AD$11:AD$53)+SUMIF('StG 3'!$AM$10:$AM$50,$J24,'StG 3'!AD$10:AD$50)+SUMIF('StG 4'!$AM$10:$AM$20,$J24,'StG 4'!AD$10:AD$20)+SUMIF('StG 5'!$AM$8:$AM$40,$J24,'StG 5'!AD$8:AD$40)</f>
        <v>0</v>
      </c>
      <c r="C24" s="31">
        <f>+SUMIF('StG 1'!$AM$11:$AM$129,$J24,'StG 1'!AE$11:AE$129)+SUMIF('StG 2'!$AM$11:$AM$53,$J24,'StG 2'!AE$11:AE$53)+SUMIF('StG 3'!$AM$10:$AM$50,$J24,'StG 3'!AE$10:AE$50)+SUMIF('StG 4'!$AM$10:$AM$20,$J24,'StG 4'!AE$10:AE$20)+SUMIF('StG 5'!$AM$8:$AM$40,$J24,'StG 5'!AE$8:AE$40)</f>
        <v>0</v>
      </c>
      <c r="D24" s="31">
        <f>+SUMIF('StG 1'!$AM$11:$AM$129,$J24,'StG 1'!AF$11:AF$129)+SUMIF('StG 2'!$AM$11:$AM$53,$J24,'StG 2'!AF$11:AF$53)+SUMIF('StG 3'!$AM$10:$AM$50,$J24,'StG 3'!AF$10:AF$50)+SUMIF('StG 4'!$AM$10:$AM$20,$J24,'StG 4'!AF$10:AF$20)+SUMIF('StG 5'!$AM$8:$AM$40,$J24,'StG 5'!AF$8:AF$40)</f>
        <v>0</v>
      </c>
      <c r="E24" s="31">
        <f>+SUMIF('StG 1'!$AM$11:$AM$129,$J24,'StG 1'!AG$11:AG$129)+SUMIF('StG 2'!$AM$11:$AM$53,$J24,'StG 2'!AG$11:AG$53)+SUMIF('StG 3'!$AM$10:$AM$50,$J24,'StG 3'!AG$10:AG$50)+SUMIF('StG 4'!$AM$10:$AM$20,$J24,'StG 4'!AG$10:AG$20)+SUMIF('StG 5'!$AM$8:$AM$40,$J24,'StG 5'!AG$8:AG$40)</f>
        <v>0</v>
      </c>
      <c r="F24" s="31">
        <f>+SUMIF('StG 1'!$AM$11:$AM$129,$J24,'StG 1'!AH$11:AH$129)+SUMIF('StG 2'!$AM$11:$AM$53,$J24,'StG 2'!AH$11:AH$53)+SUMIF('StG 3'!$AM$10:$AM$50,$J24,'StG 3'!AH$10:AH$50)+SUMIF('StG 4'!$AM$10:$AM$20,$J24,'StG 4'!AH$10:AH$20)+SUMIF('StG 5'!$AM$8:$AM$40,$J24,'StG 5'!AH$8:AH$40)</f>
        <v>0</v>
      </c>
      <c r="G24" s="31">
        <f>+SUMIF('StG 1'!$AM$11:$AM$129,$J24,'StG 1'!AI$11:AI$129)+SUMIF('StG 2'!$AM$11:$AM$53,$J24,'StG 2'!AI$11:AI$53)+SUMIF('StG 3'!$AM$10:$AM$50,$J24,'StG 3'!AI$10:AI$50)+SUMIF('StG 4'!$AM$10:$AM$20,$J24,'StG 4'!AI$10:AI$20)+SUMIF('StG 5'!$AM$8:$AM$40,$J24,'StG 5'!AI$8:AI$40)</f>
        <v>0</v>
      </c>
      <c r="H24" s="31">
        <f>+SUMIF('StG 1'!$AM$11:$AM$129,$J24,'StG 1'!AJ$11:AJ$129)+SUMIF('StG 2'!$AM$11:$AM$53,$J24,'StG 2'!AJ$11:AJ$53)+SUMIF('StG 3'!$AM$10:$AM$50,$J24,'StG 3'!AJ$10:AJ$50)+SUMIF('StG 4'!$AM$10:$AM$20,$J24,'StG 4'!AJ$10:AJ$20)+SUMIF('StG 5'!$AM$8:$AM$40,$J24,'StG 5'!AJ$8:AJ$40)</f>
        <v>0</v>
      </c>
      <c r="I24" s="31">
        <f t="shared" si="5"/>
        <v>0</v>
      </c>
      <c r="J24">
        <v>2</v>
      </c>
    </row>
    <row r="25" spans="1:10" x14ac:dyDescent="0.25">
      <c r="A25" s="14" t="s">
        <v>798</v>
      </c>
      <c r="B25" s="31">
        <f>+SUMIF('StG 1'!$AM$11:$AM$129,$J25,'StG 1'!AD$11:AD$129)+SUMIF('StG 2'!$AM$11:$AM$53,$J25,'StG 2'!AD$11:AD$53)+SUMIF('StG 3'!$AM$10:$AM$50,$J25,'StG 3'!AD$10:AD$50)+SUMIF('StG 4'!$AM$10:$AM$20,$J25,'StG 4'!AD$10:AD$20)+SUMIF('StG 5'!$AM$8:$AM$40,$J25,'StG 5'!AD$8:AD$40)</f>
        <v>0</v>
      </c>
      <c r="C25" s="31">
        <f>+SUMIF('StG 1'!$AM$11:$AM$129,$J25,'StG 1'!AE$11:AE$129)+SUMIF('StG 2'!$AM$11:$AM$53,$J25,'StG 2'!AE$11:AE$53)+SUMIF('StG 3'!$AM$10:$AM$50,$J25,'StG 3'!AE$10:AE$50)+SUMIF('StG 4'!$AM$10:$AM$20,$J25,'StG 4'!AE$10:AE$20)+SUMIF('StG 5'!$AM$8:$AM$40,$J25,'StG 5'!AE$8:AE$40)</f>
        <v>0</v>
      </c>
      <c r="D25" s="31">
        <f>+SUMIF('StG 1'!$AM$11:$AM$129,$J25,'StG 1'!AF$11:AF$129)+SUMIF('StG 2'!$AM$11:$AM$53,$J25,'StG 2'!AF$11:AF$53)+SUMIF('StG 3'!$AM$10:$AM$50,$J25,'StG 3'!AF$10:AF$50)+SUMIF('StG 4'!$AM$10:$AM$20,$J25,'StG 4'!AF$10:AF$20)+SUMIF('StG 5'!$AM$8:$AM$40,$J25,'StG 5'!AF$8:AF$40)</f>
        <v>0</v>
      </c>
      <c r="E25" s="31">
        <f>+SUMIF('StG 1'!$AM$11:$AM$129,$J25,'StG 1'!AG$11:AG$129)+SUMIF('StG 2'!$AM$11:$AM$53,$J25,'StG 2'!AG$11:AG$53)+SUMIF('StG 3'!$AM$10:$AM$50,$J25,'StG 3'!AG$10:AG$50)+SUMIF('StG 4'!$AM$10:$AM$20,$J25,'StG 4'!AG$10:AG$20)+SUMIF('StG 5'!$AM$8:$AM$40,$J25,'StG 5'!AG$8:AG$40)</f>
        <v>0</v>
      </c>
      <c r="F25" s="31">
        <f>+SUMIF('StG 1'!$AM$11:$AM$129,$J25,'StG 1'!AH$11:AH$129)+SUMIF('StG 2'!$AM$11:$AM$53,$J25,'StG 2'!AH$11:AH$53)+SUMIF('StG 3'!$AM$10:$AM$50,$J25,'StG 3'!AH$10:AH$50)+SUMIF('StG 4'!$AM$10:$AM$20,$J25,'StG 4'!AH$10:AH$20)+SUMIF('StG 5'!$AM$8:$AM$40,$J25,'StG 5'!AH$8:AH$40)</f>
        <v>0</v>
      </c>
      <c r="G25" s="31">
        <f>+SUMIF('StG 1'!$AM$11:$AM$129,$J25,'StG 1'!AI$11:AI$129)+SUMIF('StG 2'!$AM$11:$AM$53,$J25,'StG 2'!AI$11:AI$53)+SUMIF('StG 3'!$AM$10:$AM$50,$J25,'StG 3'!AI$10:AI$50)+SUMIF('StG 4'!$AM$10:$AM$20,$J25,'StG 4'!AI$10:AI$20)+SUMIF('StG 5'!$AM$8:$AM$40,$J25,'StG 5'!AI$8:AI$40)</f>
        <v>0</v>
      </c>
      <c r="H25" s="31">
        <f>+SUMIF('StG 1'!$AM$11:$AM$129,$J25,'StG 1'!AJ$11:AJ$129)+SUMIF('StG 2'!$AM$11:$AM$53,$J25,'StG 2'!AJ$11:AJ$53)+SUMIF('StG 3'!$AM$10:$AM$50,$J25,'StG 3'!AJ$10:AJ$50)+SUMIF('StG 4'!$AM$10:$AM$20,$J25,'StG 4'!AJ$10:AJ$20)+SUMIF('StG 5'!$AM$8:$AM$40,$J25,'StG 5'!AJ$8:AJ$40)</f>
        <v>0</v>
      </c>
      <c r="I25" s="31">
        <f>SUM(B25:H25)</f>
        <v>0</v>
      </c>
      <c r="J25">
        <v>3</v>
      </c>
    </row>
    <row r="26" spans="1:10" x14ac:dyDescent="0.25">
      <c r="A26" s="14" t="s">
        <v>799</v>
      </c>
      <c r="B26" s="31">
        <f>+SUMIF('StG 1'!$AM$11:$AM$129,$J26,'StG 1'!AD$11:AD$129)+SUMIF('StG 2'!$AM$11:$AM$53,$J26,'StG 2'!AD$11:AD$53)+SUMIF('StG 3'!$AM$10:$AM$50,$J26,'StG 3'!AD$10:AD$50)+SUMIF('StG 4'!$AM$10:$AM$20,$J26,'StG 4'!AD$10:AD$20)+SUMIF('StG 5'!$AM$8:$AM$40,$J26,'StG 5'!AD$8:AD$40)</f>
        <v>0</v>
      </c>
      <c r="C26" s="31">
        <f>+SUMIF('StG 1'!$AM$11:$AM$129,$J26,'StG 1'!AE$11:AE$129)+SUMIF('StG 2'!$AM$11:$AM$53,$J26,'StG 2'!AE$11:AE$53)+SUMIF('StG 3'!$AM$10:$AM$50,$J26,'StG 3'!AE$10:AE$50)+SUMIF('StG 4'!$AM$10:$AM$20,$J26,'StG 4'!AE$10:AE$20)+SUMIF('StG 5'!$AM$8:$AM$40,$J26,'StG 5'!AE$8:AE$40)</f>
        <v>0</v>
      </c>
      <c r="D26" s="31">
        <f>+SUMIF('StG 1'!$AM$11:$AM$129,$J26,'StG 1'!AF$11:AF$129)+SUMIF('StG 2'!$AM$11:$AM$53,$J26,'StG 2'!AF$11:AF$53)+SUMIF('StG 3'!$AM$10:$AM$50,$J26,'StG 3'!AF$10:AF$50)+SUMIF('StG 4'!$AM$10:$AM$20,$J26,'StG 4'!AF$10:AF$20)+SUMIF('StG 5'!$AM$8:$AM$40,$J26,'StG 5'!AF$8:AF$40)</f>
        <v>0</v>
      </c>
      <c r="E26" s="31">
        <f>+SUMIF('StG 1'!$AM$11:$AM$129,$J26,'StG 1'!AG$11:AG$129)+SUMIF('StG 2'!$AM$11:$AM$53,$J26,'StG 2'!AG$11:AG$53)+SUMIF('StG 3'!$AM$10:$AM$50,$J26,'StG 3'!AG$10:AG$50)+SUMIF('StG 4'!$AM$10:$AM$20,$J26,'StG 4'!AG$10:AG$20)+SUMIF('StG 5'!$AM$8:$AM$40,$J26,'StG 5'!AG$8:AG$40)</f>
        <v>0</v>
      </c>
      <c r="F26" s="31">
        <f>+SUMIF('StG 1'!$AM$11:$AM$129,$J26,'StG 1'!AH$11:AH$129)+SUMIF('StG 2'!$AM$11:$AM$53,$J26,'StG 2'!AH$11:AH$53)+SUMIF('StG 3'!$AM$10:$AM$50,$J26,'StG 3'!AH$10:AH$50)+SUMIF('StG 4'!$AM$10:$AM$20,$J26,'StG 4'!AH$10:AH$20)+SUMIF('StG 5'!$AM$8:$AM$40,$J26,'StG 5'!AH$8:AH$40)</f>
        <v>0</v>
      </c>
      <c r="G26" s="31">
        <f>+SUMIF('StG 1'!$AM$11:$AM$129,$J26,'StG 1'!AI$11:AI$129)+SUMIF('StG 2'!$AM$11:$AM$53,$J26,'StG 2'!AI$11:AI$53)+SUMIF('StG 3'!$AM$10:$AM$50,$J26,'StG 3'!AI$10:AI$50)+SUMIF('StG 4'!$AM$10:$AM$20,$J26,'StG 4'!AI$10:AI$20)+SUMIF('StG 5'!$AM$8:$AM$40,$J26,'StG 5'!AI$8:AI$40)</f>
        <v>0</v>
      </c>
      <c r="H26" s="31">
        <f>+SUMIF('StG 1'!$AM$11:$AM$129,$J26,'StG 1'!AJ$11:AJ$129)+SUMIF('StG 2'!$AM$11:$AM$53,$J26,'StG 2'!AJ$11:AJ$53)+SUMIF('StG 3'!$AM$10:$AM$50,$J26,'StG 3'!AJ$10:AJ$50)+SUMIF('StG 4'!$AM$10:$AM$20,$J26,'StG 4'!AJ$10:AJ$20)+SUMIF('StG 5'!$AM$8:$AM$40,$J26,'StG 5'!AJ$8:AJ$40)</f>
        <v>0</v>
      </c>
      <c r="I26" s="31">
        <f t="shared" si="5"/>
        <v>0</v>
      </c>
      <c r="J26">
        <v>4</v>
      </c>
    </row>
    <row r="27" spans="1:10" x14ac:dyDescent="0.25">
      <c r="A27" s="14" t="s">
        <v>800</v>
      </c>
      <c r="B27" s="31">
        <f>+SUMIF('StG 1'!$AM$11:$AM$129,$J27,'StG 1'!AD$11:AD$129)+SUMIF('StG 2'!$AM$11:$AM$53,$J27,'StG 2'!AD$11:AD$53)+SUMIF('StG 3'!$AM$10:$AM$50,$J27,'StG 3'!AD$10:AD$50)+SUMIF('StG 4'!$AM$10:$AM$20,$J27,'StG 4'!AD$10:AD$20)+SUMIF('StG 5'!$AM$8:$AM$40,$J27,'StG 5'!AD$8:AD$40)</f>
        <v>0</v>
      </c>
      <c r="C27" s="31">
        <f>+SUMIF('StG 1'!$AM$11:$AM$129,$J27,'StG 1'!AE$11:AE$129)+SUMIF('StG 2'!$AM$11:$AM$53,$J27,'StG 2'!AE$11:AE$53)+SUMIF('StG 3'!$AM$10:$AM$50,$J27,'StG 3'!AE$10:AE$50)+SUMIF('StG 4'!$AM$10:$AM$20,$J27,'StG 4'!AE$10:AE$20)+SUMIF('StG 5'!$AM$8:$AM$40,$J27,'StG 5'!AE$8:AE$40)</f>
        <v>0</v>
      </c>
      <c r="D27" s="31">
        <f>+SUMIF('StG 1'!$AM$11:$AM$129,$J27,'StG 1'!AF$11:AF$129)+SUMIF('StG 2'!$AM$11:$AM$53,$J27,'StG 2'!AF$11:AF$53)+SUMIF('StG 3'!$AM$10:$AM$50,$J27,'StG 3'!AF$10:AF$50)+SUMIF('StG 4'!$AM$10:$AM$20,$J27,'StG 4'!AF$10:AF$20)+SUMIF('StG 5'!$AM$8:$AM$40,$J27,'StG 5'!AF$8:AF$40)</f>
        <v>0</v>
      </c>
      <c r="E27" s="31">
        <f>+SUMIF('StG 1'!$AM$11:$AM$129,$J27,'StG 1'!AG$11:AG$129)+SUMIF('StG 2'!$AM$11:$AM$53,$J27,'StG 2'!AG$11:AG$53)+SUMIF('StG 3'!$AM$10:$AM$50,$J27,'StG 3'!AG$10:AG$50)+SUMIF('StG 4'!$AM$10:$AM$20,$J27,'StG 4'!AG$10:AG$20)+SUMIF('StG 5'!$AM$8:$AM$40,$J27,'StG 5'!AG$8:AG$40)</f>
        <v>0</v>
      </c>
      <c r="F27" s="31">
        <f>+SUMIF('StG 1'!$AM$11:$AM$129,$J27,'StG 1'!AH$11:AH$129)+SUMIF('StG 2'!$AM$11:$AM$53,$J27,'StG 2'!AH$11:AH$53)+SUMIF('StG 3'!$AM$10:$AM$50,$J27,'StG 3'!AH$10:AH$50)+SUMIF('StG 4'!$AM$10:$AM$20,$J27,'StG 4'!AH$10:AH$20)+SUMIF('StG 5'!$AM$8:$AM$40,$J27,'StG 5'!AH$8:AH$40)</f>
        <v>0</v>
      </c>
      <c r="G27" s="31">
        <f>+SUMIF('StG 1'!$AM$11:$AM$129,$J27,'StG 1'!AI$11:AI$129)+SUMIF('StG 2'!$AM$11:$AM$53,$J27,'StG 2'!AI$11:AI$53)+SUMIF('StG 3'!$AM$10:$AM$50,$J27,'StG 3'!AI$10:AI$50)+SUMIF('StG 4'!$AM$10:$AM$20,$J27,'StG 4'!AI$10:AI$20)+SUMIF('StG 5'!$AM$8:$AM$40,$J27,'StG 5'!AI$8:AI$40)</f>
        <v>0</v>
      </c>
      <c r="H27" s="31">
        <f>+SUMIF('StG 1'!$AM$11:$AM$129,$J27,'StG 1'!AJ$11:AJ$129)+SUMIF('StG 2'!$AM$11:$AM$53,$J27,'StG 2'!AJ$11:AJ$53)+SUMIF('StG 3'!$AM$10:$AM$50,$J27,'StG 3'!AJ$10:AJ$50)+SUMIF('StG 4'!$AM$10:$AM$20,$J27,'StG 4'!AJ$10:AJ$20)+SUMIF('StG 5'!$AM$8:$AM$40,$J27,'StG 5'!AJ$8:AJ$40)</f>
        <v>0</v>
      </c>
      <c r="I27" s="31">
        <f t="shared" si="5"/>
        <v>0</v>
      </c>
      <c r="J27">
        <v>6</v>
      </c>
    </row>
    <row r="28" spans="1:10" x14ac:dyDescent="0.25">
      <c r="A28" s="14" t="s">
        <v>801</v>
      </c>
      <c r="B28" s="31">
        <f>+SUMIF('StG 1'!$AM$11:$AM$129,$J28,'StG 1'!AD$11:AD$129)+SUMIF('StG 2'!$AM$11:$AM$53,$J28,'StG 2'!AD$11:AD$53)+SUMIF('StG 3'!$AM$10:$AM$50,$J28,'StG 3'!AD$10:AD$50)+SUMIF('StG 4'!$AM$10:$AM$20,$J28,'StG 4'!AD$10:AD$20)+SUMIF('StG 5'!$AM$8:$AM$40,$J28,'StG 5'!AD$8:AD$40)</f>
        <v>0</v>
      </c>
      <c r="C28" s="31">
        <f>+SUMIF('StG 1'!$AM$11:$AM$129,$J28,'StG 1'!AE$11:AE$129)+SUMIF('StG 2'!$AM$11:$AM$53,$J28,'StG 2'!AE$11:AE$53)+SUMIF('StG 3'!$AM$10:$AM$50,$J28,'StG 3'!AE$10:AE$50)+SUMIF('StG 4'!$AM$10:$AM$20,$J28,'StG 4'!AE$10:AE$20)+SUMIF('StG 5'!$AM$8:$AM$40,$J28,'StG 5'!AE$8:AE$40)</f>
        <v>0</v>
      </c>
      <c r="D28" s="31">
        <f>+SUMIF('StG 1'!$AM$11:$AM$129,$J28,'StG 1'!AF$11:AF$129)+SUMIF('StG 2'!$AM$11:$AM$53,$J28,'StG 2'!AF$11:AF$53)+SUMIF('StG 3'!$AM$10:$AM$50,$J28,'StG 3'!AF$10:AF$50)+SUMIF('StG 4'!$AM$10:$AM$20,$J28,'StG 4'!AF$10:AF$20)+SUMIF('StG 5'!$AM$8:$AM$40,$J28,'StG 5'!AF$8:AF$40)</f>
        <v>0</v>
      </c>
      <c r="E28" s="31">
        <f>+SUMIF('StG 1'!$AM$11:$AM$129,$J28,'StG 1'!AG$11:AG$129)+SUMIF('StG 2'!$AM$11:$AM$53,$J28,'StG 2'!AG$11:AG$53)+SUMIF('StG 3'!$AM$10:$AM$50,$J28,'StG 3'!AG$10:AG$50)+SUMIF('StG 4'!$AM$10:$AM$20,$J28,'StG 4'!AG$10:AG$20)+SUMIF('StG 5'!$AM$8:$AM$40,$J28,'StG 5'!AG$8:AG$40)</f>
        <v>0</v>
      </c>
      <c r="F28" s="31">
        <f>+SUMIF('StG 1'!$AM$11:$AM$129,$J28,'StG 1'!AH$11:AH$129)+SUMIF('StG 2'!$AM$11:$AM$53,$J28,'StG 2'!AH$11:AH$53)+SUMIF('StG 3'!$AM$10:$AM$50,$J28,'StG 3'!AH$10:AH$50)+SUMIF('StG 4'!$AM$10:$AM$20,$J28,'StG 4'!AH$10:AH$20)+SUMIF('StG 5'!$AM$8:$AM$40,$J28,'StG 5'!AH$8:AH$40)</f>
        <v>0</v>
      </c>
      <c r="G28" s="31">
        <f>+SUMIF('StG 1'!$AM$11:$AM$129,$J28,'StG 1'!AI$11:AI$129)+SUMIF('StG 2'!$AM$11:$AM$53,$J28,'StG 2'!AI$11:AI$53)+SUMIF('StG 3'!$AM$10:$AM$50,$J28,'StG 3'!AI$10:AI$50)+SUMIF('StG 4'!$AM$10:$AM$20,$J28,'StG 4'!AI$10:AI$20)+SUMIF('StG 5'!$AM$8:$AM$40,$J28,'StG 5'!AI$8:AI$40)</f>
        <v>0</v>
      </c>
      <c r="H28" s="31">
        <f>+SUMIF('StG 1'!$AM$11:$AM$129,$J28,'StG 1'!AJ$11:AJ$129)+SUMIF('StG 2'!$AM$11:$AM$53,$J28,'StG 2'!AJ$11:AJ$53)+SUMIF('StG 3'!$AM$10:$AM$50,$J28,'StG 3'!AJ$10:AJ$50)+SUMIF('StG 4'!$AM$10:$AM$20,$J28,'StG 4'!AJ$10:AJ$20)+SUMIF('StG 5'!$AM$8:$AM$40,$J28,'StG 5'!AJ$8:AJ$40)</f>
        <v>0</v>
      </c>
      <c r="I28" s="31">
        <f t="shared" si="5"/>
        <v>0</v>
      </c>
      <c r="J28">
        <v>5</v>
      </c>
    </row>
    <row r="32" spans="1:10" x14ac:dyDescent="0.25">
      <c r="B32" s="49">
        <f t="shared" ref="B32:I32" si="8">+SUM(B33:B47)</f>
        <v>0</v>
      </c>
      <c r="C32" s="49">
        <f t="shared" si="8"/>
        <v>0</v>
      </c>
      <c r="D32" s="49">
        <f t="shared" si="8"/>
        <v>0</v>
      </c>
      <c r="E32" s="49">
        <f t="shared" si="8"/>
        <v>0</v>
      </c>
      <c r="F32" s="49">
        <f t="shared" si="8"/>
        <v>0</v>
      </c>
      <c r="G32" s="49">
        <f t="shared" si="8"/>
        <v>0</v>
      </c>
      <c r="H32" s="49">
        <f t="shared" si="8"/>
        <v>0</v>
      </c>
      <c r="I32" s="49">
        <f t="shared" si="8"/>
        <v>0</v>
      </c>
    </row>
    <row r="33" spans="1:10" x14ac:dyDescent="0.25">
      <c r="A33" s="14" t="s">
        <v>977</v>
      </c>
      <c r="B33" s="31">
        <f>+SUMIF('StG 1'!$AO$11:$AO$129,$J33,'StG 1'!AD$11:AD$129)+SUMIF('StG 2'!$AO$11:$AO$53,$J33,'StG 2'!AD$11:AD$53)+SUMIF('StG 3'!$AO$10:$AO$50,$J33,'StG 3'!AD$10:AD$50)+SUMIF('StG 4'!$AO$10:$AO$20,$J33,'StG 4'!AD$10:AD$20)+SUMIF('StG 5'!$AO$8:$AO$40,$J33,'StG 5'!AD$8:AD$40)</f>
        <v>0</v>
      </c>
      <c r="C33" s="31">
        <f>+SUMIF('StG 1'!$AO$11:$AO$129,$J33,'StG 1'!AE$11:AE$129)+SUMIF('StG 2'!$AO$11:$AO$53,$J33,'StG 2'!AE$11:AE$53)+SUMIF('StG 3'!$AO$10:$AO$50,$J33,'StG 3'!AE$10:AE$50)+SUMIF('StG 4'!$AO$10:$AO$20,$J33,'StG 4'!AE$10:AE$20)+SUMIF('StG 5'!$AO$8:$AO$40,$J33,'StG 5'!AE$8:AE$40)</f>
        <v>0</v>
      </c>
      <c r="D33" s="31">
        <f>+SUMIF('StG 1'!$AO$11:$AO$129,$J33,'StG 1'!AF$11:AF$129)+SUMIF('StG 2'!$AO$11:$AO$53,$J33,'StG 2'!AF$11:AF$53)+SUMIF('StG 3'!$AO$10:$AO$50,$J33,'StG 3'!AF$10:AF$50)+SUMIF('StG 4'!$AO$10:$AO$20,$J33,'StG 4'!AF$10:AF$20)+SUMIF('StG 5'!$AO$8:$AO$40,$J33,'StG 5'!AF$8:AF$40)</f>
        <v>0</v>
      </c>
      <c r="E33" s="31">
        <f>+SUMIF('StG 1'!$AO$11:$AO$129,$J33,'StG 1'!AG$11:AG$129)+SUMIF('StG 2'!$AO$11:$AO$53,$J33,'StG 2'!AG$11:AG$53)+SUMIF('StG 3'!$AO$10:$AO$50,$J33,'StG 3'!AG$10:AG$50)+SUMIF('StG 4'!$AO$10:$AO$20,$J33,'StG 4'!AG$10:AG$20)+SUMIF('StG 5'!$AO$8:$AO$40,$J33,'StG 5'!AG$8:AG$40)</f>
        <v>0</v>
      </c>
      <c r="F33" s="31">
        <f>+SUMIF('StG 1'!$AO$11:$AO$129,$J33,'StG 1'!AH$11:AH$129)+SUMIF('StG 2'!$AO$11:$AO$53,$J33,'StG 2'!AH$11:AH$53)+SUMIF('StG 3'!$AO$10:$AO$50,$J33,'StG 3'!AH$10:AH$50)+SUMIF('StG 4'!$AO$10:$AO$20,$J33,'StG 4'!AH$10:AH$20)+SUMIF('StG 5'!$AO$8:$AO$40,$J33,'StG 5'!AH$8:AH$40)</f>
        <v>0</v>
      </c>
      <c r="G33" s="31">
        <f>+SUMIF('StG 1'!$AO$11:$AO$129,$J33,'StG 1'!AI$11:AI$129)+SUMIF('StG 2'!$AO$11:$AO$53,$J33,'StG 2'!AI$11:AI$53)+SUMIF('StG 3'!$AO$10:$AO$50,$J33,'StG 3'!AI$10:AI$50)+SUMIF('StG 4'!$AO$10:$AO$20,$J33,'StG 4'!AI$10:AI$20)+SUMIF('StG 5'!$AO$8:$AO$40,$J33,'StG 5'!AI$8:AI$40)</f>
        <v>0</v>
      </c>
      <c r="H33" s="31">
        <f>+SUMIF('StG 1'!$AO$11:$AO$129,$J33,'StG 1'!AJ$11:AJ$129)+SUMIF('StG 2'!$AO$11:$AO$53,$J33,'StG 2'!AJ$11:AJ$53)+SUMIF('StG 3'!$AO$10:$AO$50,$J33,'StG 3'!AJ$10:AJ$50)+SUMIF('StG 4'!$AO$10:$AO$20,$J33,'StG 4'!AJ$10:AJ$20)+SUMIF('StG 5'!$AO$8:$AO$40,$J33,'StG 5'!AJ$8:AJ$40)</f>
        <v>0</v>
      </c>
      <c r="I33" s="31">
        <f>SUM(B33:H33)</f>
        <v>0</v>
      </c>
      <c r="J33">
        <v>1</v>
      </c>
    </row>
    <row r="34" spans="1:10" x14ac:dyDescent="0.25">
      <c r="A34" s="14" t="s">
        <v>978</v>
      </c>
      <c r="B34" s="31">
        <f>+SUMIF('StG 1'!$AO$11:$AO$129,$J34,'StG 1'!AD$11:AD$129)+SUMIF('StG 2'!$AO$11:$AO$53,$J34,'StG 2'!AD$11:AD$53)+SUMIF('StG 3'!$AO$10:$AO$50,$J34,'StG 3'!AD$10:AD$50)+SUMIF('StG 4'!$AO$10:$AO$20,$J34,'StG 4'!AD$10:AD$20)+SUMIF('StG 5'!$AO$8:$AO$40,$J34,'StG 5'!AD$8:AD$40)</f>
        <v>0</v>
      </c>
      <c r="C34" s="31">
        <f>+SUMIF('StG 1'!$AO$11:$AO$129,$J34,'StG 1'!AE$11:AE$129)+SUMIF('StG 2'!$AO$11:$AO$53,$J34,'StG 2'!AE$11:AE$53)+SUMIF('StG 3'!$AO$10:$AO$50,$J34,'StG 3'!AE$10:AE$50)+SUMIF('StG 4'!$AO$10:$AO$20,$J34,'StG 4'!AE$10:AE$20)+SUMIF('StG 5'!$AO$8:$AO$40,$J34,'StG 5'!AE$8:AE$40)</f>
        <v>0</v>
      </c>
      <c r="D34" s="31">
        <f>+SUMIF('StG 1'!$AO$11:$AO$129,$J34,'StG 1'!AF$11:AF$129)+SUMIF('StG 2'!$AO$11:$AO$53,$J34,'StG 2'!AF$11:AF$53)+SUMIF('StG 3'!$AO$10:$AO$50,$J34,'StG 3'!AF$10:AF$50)+SUMIF('StG 4'!$AO$10:$AO$20,$J34,'StG 4'!AF$10:AF$20)+SUMIF('StG 5'!$AO$8:$AO$40,$J34,'StG 5'!AF$8:AF$40)</f>
        <v>0</v>
      </c>
      <c r="E34" s="31">
        <f>+SUMIF('StG 1'!$AO$11:$AO$129,$J34,'StG 1'!AG$11:AG$129)+SUMIF('StG 2'!$AO$11:$AO$53,$J34,'StG 2'!AG$11:AG$53)+SUMIF('StG 3'!$AO$10:$AO$50,$J34,'StG 3'!AG$10:AG$50)+SUMIF('StG 4'!$AO$10:$AO$20,$J34,'StG 4'!AG$10:AG$20)+SUMIF('StG 5'!$AO$8:$AO$40,$J34,'StG 5'!AG$8:AG$40)</f>
        <v>0</v>
      </c>
      <c r="F34" s="31">
        <f>+SUMIF('StG 1'!$AO$11:$AO$129,$J34,'StG 1'!AH$11:AH$129)+SUMIF('StG 2'!$AO$11:$AO$53,$J34,'StG 2'!AH$11:AH$53)+SUMIF('StG 3'!$AO$10:$AO$50,$J34,'StG 3'!AH$10:AH$50)+SUMIF('StG 4'!$AO$10:$AO$20,$J34,'StG 4'!AH$10:AH$20)+SUMIF('StG 5'!$AO$8:$AO$40,$J34,'StG 5'!AH$8:AH$40)</f>
        <v>0</v>
      </c>
      <c r="G34" s="31">
        <f>+SUMIF('StG 1'!$AO$11:$AO$129,$J34,'StG 1'!AI$11:AI$129)+SUMIF('StG 2'!$AO$11:$AO$53,$J34,'StG 2'!AI$11:AI$53)+SUMIF('StG 3'!$AO$10:$AO$50,$J34,'StG 3'!AI$10:AI$50)+SUMIF('StG 4'!$AO$10:$AO$20,$J34,'StG 4'!AI$10:AI$20)+SUMIF('StG 5'!$AO$8:$AO$40,$J34,'StG 5'!AI$8:AI$40)</f>
        <v>0</v>
      </c>
      <c r="H34" s="31">
        <f>+SUMIF('StG 1'!$AO$11:$AO$129,$J34,'StG 1'!AJ$11:AJ$129)+SUMIF('StG 2'!$AO$11:$AO$53,$J34,'StG 2'!AJ$11:AJ$53)+SUMIF('StG 3'!$AO$10:$AO$50,$J34,'StG 3'!AJ$10:AJ$50)+SUMIF('StG 4'!$AO$10:$AO$20,$J34,'StG 4'!AJ$10:AJ$20)+SUMIF('StG 5'!$AO$8:$AO$40,$J34,'StG 5'!AJ$8:AJ$40)</f>
        <v>0</v>
      </c>
      <c r="I34" s="31">
        <f t="shared" ref="I34:I46" si="9">SUM(B34:H34)</f>
        <v>0</v>
      </c>
      <c r="J34">
        <v>5</v>
      </c>
    </row>
    <row r="35" spans="1:10" x14ac:dyDescent="0.25">
      <c r="A35" s="14" t="s">
        <v>981</v>
      </c>
      <c r="B35" s="31">
        <f>+SUMIF('StG 1'!$AO$11:$AO$129,$J35,'StG 1'!AD$11:AD$129)+SUMIF('StG 2'!$AO$11:$AO$53,$J35,'StG 2'!AD$11:AD$53)+SUMIF('StG 3'!$AO$10:$AO$50,$J35,'StG 3'!AD$10:AD$50)+SUMIF('StG 4'!$AO$10:$AO$20,$J35,'StG 4'!AD$10:AD$20)+SUMIF('StG 5'!$AO$8:$AO$40,$J35,'StG 5'!AD$8:AD$40)</f>
        <v>0</v>
      </c>
      <c r="C35" s="31">
        <f>+SUMIF('StG 1'!$AO$11:$AO$129,$J35,'StG 1'!AE$11:AE$129)+SUMIF('StG 2'!$AO$11:$AO$53,$J35,'StG 2'!AE$11:AE$53)+SUMIF('StG 3'!$AO$10:$AO$50,$J35,'StG 3'!AE$10:AE$50)+SUMIF('StG 4'!$AO$10:$AO$20,$J35,'StG 4'!AE$10:AE$20)+SUMIF('StG 5'!$AO$8:$AO$40,$J35,'StG 5'!AE$8:AE$40)</f>
        <v>0</v>
      </c>
      <c r="D35" s="31">
        <f>+SUMIF('StG 1'!$AO$11:$AO$129,$J35,'StG 1'!AF$11:AF$129)+SUMIF('StG 2'!$AO$11:$AO$53,$J35,'StG 2'!AF$11:AF$53)+SUMIF('StG 3'!$AO$10:$AO$50,$J35,'StG 3'!AF$10:AF$50)+SUMIF('StG 4'!$AO$10:$AO$20,$J35,'StG 4'!AF$10:AF$20)+SUMIF('StG 5'!$AO$8:$AO$40,$J35,'StG 5'!AF$8:AF$40)</f>
        <v>0</v>
      </c>
      <c r="E35" s="31">
        <f>+SUMIF('StG 1'!$AO$11:$AO$129,$J35,'StG 1'!AG$11:AG$129)+SUMIF('StG 2'!$AO$11:$AO$53,$J35,'StG 2'!AG$11:AG$53)+SUMIF('StG 3'!$AO$10:$AO$50,$J35,'StG 3'!AG$10:AG$50)+SUMIF('StG 4'!$AO$10:$AO$20,$J35,'StG 4'!AG$10:AG$20)+SUMIF('StG 5'!$AO$8:$AO$40,$J35,'StG 5'!AG$8:AG$40)</f>
        <v>0</v>
      </c>
      <c r="F35" s="31">
        <f>+SUMIF('StG 1'!$AO$11:$AO$129,$J35,'StG 1'!AH$11:AH$129)+SUMIF('StG 2'!$AO$11:$AO$53,$J35,'StG 2'!AH$11:AH$53)+SUMIF('StG 3'!$AO$10:$AO$50,$J35,'StG 3'!AH$10:AH$50)+SUMIF('StG 4'!$AO$10:$AO$20,$J35,'StG 4'!AH$10:AH$20)+SUMIF('StG 5'!$AO$8:$AO$40,$J35,'StG 5'!AH$8:AH$40)</f>
        <v>0</v>
      </c>
      <c r="G35" s="31">
        <f>+SUMIF('StG 1'!$AO$11:$AO$129,$J35,'StG 1'!AI$11:AI$129)+SUMIF('StG 2'!$AO$11:$AO$53,$J35,'StG 2'!AI$11:AI$53)+SUMIF('StG 3'!$AO$10:$AO$50,$J35,'StG 3'!AI$10:AI$50)+SUMIF('StG 4'!$AO$10:$AO$20,$J35,'StG 4'!AI$10:AI$20)+SUMIF('StG 5'!$AO$8:$AO$40,$J35,'StG 5'!AI$8:AI$40)</f>
        <v>0</v>
      </c>
      <c r="H35" s="31">
        <f>+SUMIF('StG 1'!$AO$11:$AO$129,$J35,'StG 1'!AJ$11:AJ$129)+SUMIF('StG 2'!$AO$11:$AO$53,$J35,'StG 2'!AJ$11:AJ$53)+SUMIF('StG 3'!$AO$10:$AO$50,$J35,'StG 3'!AJ$10:AJ$50)+SUMIF('StG 4'!$AO$10:$AO$20,$J35,'StG 4'!AJ$10:AJ$20)+SUMIF('StG 5'!$AO$8:$AO$40,$J35,'StG 5'!AJ$8:AJ$40)</f>
        <v>0</v>
      </c>
      <c r="I35" s="31">
        <f t="shared" si="9"/>
        <v>0</v>
      </c>
      <c r="J35">
        <v>6</v>
      </c>
    </row>
    <row r="36" spans="1:10" x14ac:dyDescent="0.25">
      <c r="A36" s="14" t="s">
        <v>980</v>
      </c>
      <c r="B36" s="31">
        <f>+SUMIF('StG 1'!$AO$11:$AO$129,$J36,'StG 1'!AD$11:AD$129)+SUMIF('StG 2'!$AO$11:$AO$53,$J36,'StG 2'!AD$11:AD$53)+SUMIF('StG 3'!$AO$10:$AO$50,$J36,'StG 3'!AD$10:AD$50)+SUMIF('StG 4'!$AO$10:$AO$20,$J36,'StG 4'!AD$10:AD$20)+SUMIF('StG 5'!$AO$8:$AO$40,$J36,'StG 5'!AD$8:AD$40)</f>
        <v>0</v>
      </c>
      <c r="C36" s="31">
        <f>+SUMIF('StG 1'!$AO$11:$AO$129,$J36,'StG 1'!AE$11:AE$129)+SUMIF('StG 2'!$AO$11:$AO$53,$J36,'StG 2'!AE$11:AE$53)+SUMIF('StG 3'!$AO$10:$AO$50,$J36,'StG 3'!AE$10:AE$50)+SUMIF('StG 4'!$AO$10:$AO$20,$J36,'StG 4'!AE$10:AE$20)+SUMIF('StG 5'!$AO$8:$AO$40,$J36,'StG 5'!AE$8:AE$40)</f>
        <v>0</v>
      </c>
      <c r="D36" s="31">
        <f>+SUMIF('StG 1'!$AO$11:$AO$129,$J36,'StG 1'!AF$11:AF$129)+SUMIF('StG 2'!$AO$11:$AO$53,$J36,'StG 2'!AF$11:AF$53)+SUMIF('StG 3'!$AO$10:$AO$50,$J36,'StG 3'!AF$10:AF$50)+SUMIF('StG 4'!$AO$10:$AO$20,$J36,'StG 4'!AF$10:AF$20)+SUMIF('StG 5'!$AO$8:$AO$40,$J36,'StG 5'!AF$8:AF$40)</f>
        <v>0</v>
      </c>
      <c r="E36" s="31">
        <f>+SUMIF('StG 1'!$AO$11:$AO$129,$J36,'StG 1'!AG$11:AG$129)+SUMIF('StG 2'!$AO$11:$AO$53,$J36,'StG 2'!AG$11:AG$53)+SUMIF('StG 3'!$AO$10:$AO$50,$J36,'StG 3'!AG$10:AG$50)+SUMIF('StG 4'!$AO$10:$AO$20,$J36,'StG 4'!AG$10:AG$20)+SUMIF('StG 5'!$AO$8:$AO$40,$J36,'StG 5'!AG$8:AG$40)</f>
        <v>0</v>
      </c>
      <c r="F36" s="31">
        <f>+SUMIF('StG 1'!$AO$11:$AO$129,$J36,'StG 1'!AH$11:AH$129)+SUMIF('StG 2'!$AO$11:$AO$53,$J36,'StG 2'!AH$11:AH$53)+SUMIF('StG 3'!$AO$10:$AO$50,$J36,'StG 3'!AH$10:AH$50)+SUMIF('StG 4'!$AO$10:$AO$20,$J36,'StG 4'!AH$10:AH$20)+SUMIF('StG 5'!$AO$8:$AO$40,$J36,'StG 5'!AH$8:AH$40)</f>
        <v>0</v>
      </c>
      <c r="G36" s="31">
        <f>+SUMIF('StG 1'!$AO$11:$AO$129,$J36,'StG 1'!AI$11:AI$129)+SUMIF('StG 2'!$AO$11:$AO$53,$J36,'StG 2'!AI$11:AI$53)+SUMIF('StG 3'!$AO$10:$AO$50,$J36,'StG 3'!AI$10:AI$50)+SUMIF('StG 4'!$AO$10:$AO$20,$J36,'StG 4'!AI$10:AI$20)+SUMIF('StG 5'!$AO$8:$AO$40,$J36,'StG 5'!AI$8:AI$40)</f>
        <v>0</v>
      </c>
      <c r="H36" s="31">
        <f>+SUMIF('StG 1'!$AO$11:$AO$129,$J36,'StG 1'!AJ$11:AJ$129)+SUMIF('StG 2'!$AO$11:$AO$53,$J36,'StG 2'!AJ$11:AJ$53)+SUMIF('StG 3'!$AO$10:$AO$50,$J36,'StG 3'!AJ$10:AJ$50)+SUMIF('StG 4'!$AO$10:$AO$20,$J36,'StG 4'!AJ$10:AJ$20)+SUMIF('StG 5'!$AO$8:$AO$40,$J36,'StG 5'!AJ$8:AJ$40)</f>
        <v>0</v>
      </c>
      <c r="I36" s="31">
        <f t="shared" si="9"/>
        <v>0</v>
      </c>
      <c r="J36">
        <v>7</v>
      </c>
    </row>
    <row r="37" spans="1:10" x14ac:dyDescent="0.25">
      <c r="A37" s="14" t="s">
        <v>979</v>
      </c>
      <c r="B37" s="31">
        <f>+SUMIF('StG 1'!$AO$11:$AO$129,$J37,'StG 1'!AD$11:AD$129)+SUMIF('StG 2'!$AO$11:$AO$53,$J37,'StG 2'!AD$11:AD$53)+SUMIF('StG 3'!$AO$10:$AO$50,$J37,'StG 3'!AD$10:AD$50)+SUMIF('StG 4'!$AO$10:$AO$20,$J37,'StG 4'!AD$10:AD$20)+SUMIF('StG 5'!$AO$8:$AO$40,$J37,'StG 5'!AD$8:AD$40)</f>
        <v>0</v>
      </c>
      <c r="C37" s="31">
        <f>+SUMIF('StG 1'!$AO$11:$AO$129,$J37,'StG 1'!AE$11:AE$129)+SUMIF('StG 2'!$AO$11:$AO$53,$J37,'StG 2'!AE$11:AE$53)+SUMIF('StG 3'!$AO$10:$AO$50,$J37,'StG 3'!AE$10:AE$50)+SUMIF('StG 4'!$AO$10:$AO$20,$J37,'StG 4'!AE$10:AE$20)+SUMIF('StG 5'!$AO$8:$AO$40,$J37,'StG 5'!AE$8:AE$40)</f>
        <v>0</v>
      </c>
      <c r="D37" s="31">
        <f>+SUMIF('StG 1'!$AO$11:$AO$129,$J37,'StG 1'!AF$11:AF$129)+SUMIF('StG 2'!$AO$11:$AO$53,$J37,'StG 2'!AF$11:AF$53)+SUMIF('StG 3'!$AO$10:$AO$50,$J37,'StG 3'!AF$10:AF$50)+SUMIF('StG 4'!$AO$10:$AO$20,$J37,'StG 4'!AF$10:AF$20)+SUMIF('StG 5'!$AO$8:$AO$40,$J37,'StG 5'!AF$8:AF$40)</f>
        <v>0</v>
      </c>
      <c r="E37" s="31">
        <f>+SUMIF('StG 1'!$AO$11:$AO$129,$J37,'StG 1'!AG$11:AG$129)+SUMIF('StG 2'!$AO$11:$AO$53,$J37,'StG 2'!AG$11:AG$53)+SUMIF('StG 3'!$AO$10:$AO$50,$J37,'StG 3'!AG$10:AG$50)+SUMIF('StG 4'!$AO$10:$AO$20,$J37,'StG 4'!AG$10:AG$20)+SUMIF('StG 5'!$AO$8:$AO$40,$J37,'StG 5'!AG$8:AG$40)</f>
        <v>0</v>
      </c>
      <c r="F37" s="31">
        <f>+SUMIF('StG 1'!$AO$11:$AO$129,$J37,'StG 1'!AH$11:AH$129)+SUMIF('StG 2'!$AO$11:$AO$53,$J37,'StG 2'!AH$11:AH$53)+SUMIF('StG 3'!$AO$10:$AO$50,$J37,'StG 3'!AH$10:AH$50)+SUMIF('StG 4'!$AO$10:$AO$20,$J37,'StG 4'!AH$10:AH$20)+SUMIF('StG 5'!$AO$8:$AO$40,$J37,'StG 5'!AH$8:AH$40)</f>
        <v>0</v>
      </c>
      <c r="G37" s="31">
        <f>+SUMIF('StG 1'!$AO$11:$AO$129,$J37,'StG 1'!AI$11:AI$129)+SUMIF('StG 2'!$AO$11:$AO$53,$J37,'StG 2'!AI$11:AI$53)+SUMIF('StG 3'!$AO$10:$AO$50,$J37,'StG 3'!AI$10:AI$50)+SUMIF('StG 4'!$AO$10:$AO$20,$J37,'StG 4'!AI$10:AI$20)+SUMIF('StG 5'!$AO$8:$AO$40,$J37,'StG 5'!AI$8:AI$40)</f>
        <v>0</v>
      </c>
      <c r="H37" s="31">
        <f>+SUMIF('StG 1'!$AO$11:$AO$129,$J37,'StG 1'!AJ$11:AJ$129)+SUMIF('StG 2'!$AO$11:$AO$53,$J37,'StG 2'!AJ$11:AJ$53)+SUMIF('StG 3'!$AO$10:$AO$50,$J37,'StG 3'!AJ$10:AJ$50)+SUMIF('StG 4'!$AO$10:$AO$20,$J37,'StG 4'!AJ$10:AJ$20)+SUMIF('StG 5'!$AO$8:$AO$40,$J37,'StG 5'!AJ$8:AJ$40)</f>
        <v>0</v>
      </c>
      <c r="I37" s="31">
        <f t="shared" si="9"/>
        <v>0</v>
      </c>
      <c r="J37">
        <v>8</v>
      </c>
    </row>
    <row r="38" spans="1:10" x14ac:dyDescent="0.25">
      <c r="A38" s="14" t="s">
        <v>796</v>
      </c>
      <c r="B38" s="31">
        <f>+SUMIF('StG 1'!$AO$11:$AO$129,$J38,'StG 1'!AD$11:AD$129)+SUMIF('StG 2'!$AO$11:$AO$53,$J38,'StG 2'!AD$11:AD$53)+SUMIF('StG 3'!$AO$10:$AO$50,$J38,'StG 3'!AD$10:AD$50)+SUMIF('StG 4'!$AO$10:$AO$20,$J38,'StG 4'!AD$10:AD$20)+SUMIF('StG 5'!$AO$8:$AO$40,$J38,'StG 5'!AD$8:AD$40)</f>
        <v>0</v>
      </c>
      <c r="C38" s="31">
        <f>+SUMIF('StG 1'!$AO$11:$AO$129,$J38,'StG 1'!AE$11:AE$129)+SUMIF('StG 2'!$AO$11:$AO$53,$J38,'StG 2'!AE$11:AE$53)+SUMIF('StG 3'!$AO$10:$AO$50,$J38,'StG 3'!AE$10:AE$50)+SUMIF('StG 4'!$AO$10:$AO$20,$J38,'StG 4'!AE$10:AE$20)+SUMIF('StG 5'!$AO$8:$AO$40,$J38,'StG 5'!AE$8:AE$40)</f>
        <v>0</v>
      </c>
      <c r="D38" s="31">
        <f>+SUMIF('StG 1'!$AO$11:$AO$129,$J38,'StG 1'!AF$11:AF$129)+SUMIF('StG 2'!$AO$11:$AO$53,$J38,'StG 2'!AF$11:AF$53)+SUMIF('StG 3'!$AO$10:$AO$50,$J38,'StG 3'!AF$10:AF$50)+SUMIF('StG 4'!$AO$10:$AO$20,$J38,'StG 4'!AF$10:AF$20)+SUMIF('StG 5'!$AO$8:$AO$40,$J38,'StG 5'!AF$8:AF$40)</f>
        <v>0</v>
      </c>
      <c r="E38" s="31">
        <f>+SUMIF('StG 1'!$AO$11:$AO$129,$J38,'StG 1'!AG$11:AG$129)+SUMIF('StG 2'!$AO$11:$AO$53,$J38,'StG 2'!AG$11:AG$53)+SUMIF('StG 3'!$AO$10:$AO$50,$J38,'StG 3'!AG$10:AG$50)+SUMIF('StG 4'!$AO$10:$AO$20,$J38,'StG 4'!AG$10:AG$20)+SUMIF('StG 5'!$AO$8:$AO$40,$J38,'StG 5'!AG$8:AG$40)</f>
        <v>0</v>
      </c>
      <c r="F38" s="31">
        <f>+SUMIF('StG 1'!$AO$11:$AO$129,$J38,'StG 1'!AH$11:AH$129)+SUMIF('StG 2'!$AO$11:$AO$53,$J38,'StG 2'!AH$11:AH$53)+SUMIF('StG 3'!$AO$10:$AO$50,$J38,'StG 3'!AH$10:AH$50)+SUMIF('StG 4'!$AO$10:$AO$20,$J38,'StG 4'!AH$10:AH$20)+SUMIF('StG 5'!$AO$8:$AO$40,$J38,'StG 5'!AH$8:AH$40)</f>
        <v>0</v>
      </c>
      <c r="G38" s="31">
        <f>+SUMIF('StG 1'!$AO$11:$AO$129,$J38,'StG 1'!AI$11:AI$129)+SUMIF('StG 2'!$AO$11:$AO$53,$J38,'StG 2'!AI$11:AI$53)+SUMIF('StG 3'!$AO$10:$AO$50,$J38,'StG 3'!AI$10:AI$50)+SUMIF('StG 4'!$AO$10:$AO$20,$J38,'StG 4'!AI$10:AI$20)+SUMIF('StG 5'!$AO$8:$AO$40,$J38,'StG 5'!AI$8:AI$40)</f>
        <v>0</v>
      </c>
      <c r="H38" s="31">
        <f>+SUMIF('StG 1'!$AO$11:$AO$129,$J38,'StG 1'!AJ$11:AJ$129)+SUMIF('StG 2'!$AO$11:$AO$53,$J38,'StG 2'!AJ$11:AJ$53)+SUMIF('StG 3'!$AO$10:$AO$50,$J38,'StG 3'!AJ$10:AJ$50)+SUMIF('StG 4'!$AO$10:$AO$20,$J38,'StG 4'!AJ$10:AJ$20)+SUMIF('StG 5'!$AO$8:$AO$40,$J38,'StG 5'!AJ$8:AJ$40)</f>
        <v>0</v>
      </c>
      <c r="I38" s="31">
        <f t="shared" si="9"/>
        <v>0</v>
      </c>
      <c r="J38">
        <v>9</v>
      </c>
    </row>
    <row r="39" spans="1:10" x14ac:dyDescent="0.25">
      <c r="A39" s="14" t="s">
        <v>982</v>
      </c>
      <c r="B39" s="31">
        <f>+SUMIF('StG 1'!$AO$11:$AO$129,$J39,'StG 1'!AD$11:AD$129)+SUMIF('StG 2'!$AO$11:$AO$53,$J39,'StG 2'!AD$11:AD$53)+SUMIF('StG 3'!$AO$10:$AO$50,$J39,'StG 3'!AD$10:AD$50)+SUMIF('StG 4'!$AO$10:$AO$20,$J39,'StG 4'!AD$10:AD$20)+SUMIF('StG 5'!$AO$8:$AO$40,$J39,'StG 5'!AD$8:AD$40)</f>
        <v>0</v>
      </c>
      <c r="C39" s="31">
        <f>+SUMIF('StG 1'!$AO$11:$AO$129,$J39,'StG 1'!AE$11:AE$129)+SUMIF('StG 2'!$AO$11:$AO$53,$J39,'StG 2'!AE$11:AE$53)+SUMIF('StG 3'!$AO$10:$AO$50,$J39,'StG 3'!AE$10:AE$50)+SUMIF('StG 4'!$AO$10:$AO$20,$J39,'StG 4'!AE$10:AE$20)+SUMIF('StG 5'!$AO$8:$AO$40,$J39,'StG 5'!AE$8:AE$40)</f>
        <v>0</v>
      </c>
      <c r="D39" s="31">
        <f>+SUMIF('StG 1'!$AO$11:$AO$129,$J39,'StG 1'!AF$11:AF$129)+SUMIF('StG 2'!$AO$11:$AO$53,$J39,'StG 2'!AF$11:AF$53)+SUMIF('StG 3'!$AO$10:$AO$50,$J39,'StG 3'!AF$10:AF$50)+SUMIF('StG 4'!$AO$10:$AO$20,$J39,'StG 4'!AF$10:AF$20)+SUMIF('StG 5'!$AO$8:$AO$40,$J39,'StG 5'!AF$8:AF$40)</f>
        <v>0</v>
      </c>
      <c r="E39" s="31">
        <f>+SUMIF('StG 1'!$AO$11:$AO$129,$J39,'StG 1'!AG$11:AG$129)+SUMIF('StG 2'!$AO$11:$AO$53,$J39,'StG 2'!AG$11:AG$53)+SUMIF('StG 3'!$AO$10:$AO$50,$J39,'StG 3'!AG$10:AG$50)+SUMIF('StG 4'!$AO$10:$AO$20,$J39,'StG 4'!AG$10:AG$20)+SUMIF('StG 5'!$AO$8:$AO$40,$J39,'StG 5'!AG$8:AG$40)</f>
        <v>0</v>
      </c>
      <c r="F39" s="31">
        <f>+SUMIF('StG 1'!$AO$11:$AO$129,$J39,'StG 1'!AH$11:AH$129)+SUMIF('StG 2'!$AO$11:$AO$53,$J39,'StG 2'!AH$11:AH$53)+SUMIF('StG 3'!$AO$10:$AO$50,$J39,'StG 3'!AH$10:AH$50)+SUMIF('StG 4'!$AO$10:$AO$20,$J39,'StG 4'!AH$10:AH$20)+SUMIF('StG 5'!$AO$8:$AO$40,$J39,'StG 5'!AH$8:AH$40)</f>
        <v>0</v>
      </c>
      <c r="G39" s="31">
        <f>+SUMIF('StG 1'!$AO$11:$AO$129,$J39,'StG 1'!AI$11:AI$129)+SUMIF('StG 2'!$AO$11:$AO$53,$J39,'StG 2'!AI$11:AI$53)+SUMIF('StG 3'!$AO$10:$AO$50,$J39,'StG 3'!AI$10:AI$50)+SUMIF('StG 4'!$AO$10:$AO$20,$J39,'StG 4'!AI$10:AI$20)+SUMIF('StG 5'!$AO$8:$AO$40,$J39,'StG 5'!AI$8:AI$40)</f>
        <v>0</v>
      </c>
      <c r="H39" s="31">
        <f>+SUMIF('StG 1'!$AO$11:$AO$129,$J39,'StG 1'!AJ$11:AJ$129)+SUMIF('StG 2'!$AO$11:$AO$53,$J39,'StG 2'!AJ$11:AJ$53)+SUMIF('StG 3'!$AO$10:$AO$50,$J39,'StG 3'!AJ$10:AJ$50)+SUMIF('StG 4'!$AO$10:$AO$20,$J39,'StG 4'!AJ$10:AJ$20)+SUMIF('StG 5'!$AO$8:$AO$40,$J39,'StG 5'!AJ$8:AJ$40)</f>
        <v>0</v>
      </c>
      <c r="I39" s="31">
        <f t="shared" si="9"/>
        <v>0</v>
      </c>
      <c r="J39">
        <v>10</v>
      </c>
    </row>
    <row r="40" spans="1:10" x14ac:dyDescent="0.25">
      <c r="A40" s="14" t="s">
        <v>988</v>
      </c>
      <c r="B40" s="31">
        <f>+SUMIF('StG 1'!$AO$11:$AO$129,$J40,'StG 1'!AD$11:AD$129)+SUMIF('StG 2'!$AO$11:$AO$53,$J40,'StG 2'!AD$11:AD$53)+SUMIF('StG 3'!$AO$10:$AO$50,$J40,'StG 3'!AD$10:AD$50)+SUMIF('StG 4'!$AO$10:$AO$20,$J40,'StG 4'!AD$10:AD$20)+SUMIF('StG 5'!$AO$8:$AO$40,$J40,'StG 5'!AD$8:AD$40)</f>
        <v>0</v>
      </c>
      <c r="C40" s="31">
        <f>+SUMIF('StG 1'!$AO$11:$AO$129,$J40,'StG 1'!AE$11:AE$129)+SUMIF('StG 2'!$AO$11:$AO$53,$J40,'StG 2'!AE$11:AE$53)+SUMIF('StG 3'!$AO$10:$AO$50,$J40,'StG 3'!AE$10:AE$50)+SUMIF('StG 4'!$AO$10:$AO$20,$J40,'StG 4'!AE$10:AE$20)+SUMIF('StG 5'!$AO$8:$AO$40,$J40,'StG 5'!AE$8:AE$40)</f>
        <v>0</v>
      </c>
      <c r="D40" s="31">
        <f>+SUMIF('StG 1'!$AO$11:$AO$129,$J40,'StG 1'!AF$11:AF$129)+SUMIF('StG 2'!$AO$11:$AO$53,$J40,'StG 2'!AF$11:AF$53)+SUMIF('StG 3'!$AO$10:$AO$50,$J40,'StG 3'!AF$10:AF$50)+SUMIF('StG 4'!$AO$10:$AO$20,$J40,'StG 4'!AF$10:AF$20)+SUMIF('StG 5'!$AO$8:$AO$40,$J40,'StG 5'!AF$8:AF$40)</f>
        <v>0</v>
      </c>
      <c r="E40" s="31">
        <f>+SUMIF('StG 1'!$AO$11:$AO$129,$J40,'StG 1'!AG$11:AG$129)+SUMIF('StG 2'!$AO$11:$AO$53,$J40,'StG 2'!AG$11:AG$53)+SUMIF('StG 3'!$AO$10:$AO$50,$J40,'StG 3'!AG$10:AG$50)+SUMIF('StG 4'!$AO$10:$AO$20,$J40,'StG 4'!AG$10:AG$20)+SUMIF('StG 5'!$AO$8:$AO$40,$J40,'StG 5'!AG$8:AG$40)</f>
        <v>0</v>
      </c>
      <c r="F40" s="31">
        <f>+SUMIF('StG 1'!$AO$11:$AO$129,$J40,'StG 1'!AH$11:AH$129)+SUMIF('StG 2'!$AO$11:$AO$53,$J40,'StG 2'!AH$11:AH$53)+SUMIF('StG 3'!$AO$10:$AO$50,$J40,'StG 3'!AH$10:AH$50)+SUMIF('StG 4'!$AO$10:$AO$20,$J40,'StG 4'!AH$10:AH$20)+SUMIF('StG 5'!$AO$8:$AO$40,$J40,'StG 5'!AH$8:AH$40)</f>
        <v>0</v>
      </c>
      <c r="G40" s="31">
        <f>+SUMIF('StG 1'!$AO$11:$AO$129,$J40,'StG 1'!AI$11:AI$129)+SUMIF('StG 2'!$AO$11:$AO$53,$J40,'StG 2'!AI$11:AI$53)+SUMIF('StG 3'!$AO$10:$AO$50,$J40,'StG 3'!AI$10:AI$50)+SUMIF('StG 4'!$AO$10:$AO$20,$J40,'StG 4'!AI$10:AI$20)+SUMIF('StG 5'!$AO$8:$AO$40,$J40,'StG 5'!AI$8:AI$40)</f>
        <v>0</v>
      </c>
      <c r="H40" s="31">
        <f>+SUMIF('StG 1'!$AO$11:$AO$129,$J40,'StG 1'!AJ$11:AJ$129)+SUMIF('StG 2'!$AO$11:$AO$53,$J40,'StG 2'!AJ$11:AJ$53)+SUMIF('StG 3'!$AO$10:$AO$50,$J40,'StG 3'!AJ$10:AJ$50)+SUMIF('StG 4'!$AO$10:$AO$20,$J40,'StG 4'!AJ$10:AJ$20)+SUMIF('StG 5'!$AO$8:$AO$40,$J40,'StG 5'!AJ$8:AJ$40)</f>
        <v>0</v>
      </c>
      <c r="I40" s="31">
        <f t="shared" si="9"/>
        <v>0</v>
      </c>
      <c r="J40">
        <v>11</v>
      </c>
    </row>
    <row r="41" spans="1:10" x14ac:dyDescent="0.25">
      <c r="A41" s="14" t="s">
        <v>983</v>
      </c>
      <c r="B41" s="31">
        <f>+SUMIF('StG 1'!$AO$11:$AO$129,$J41,'StG 1'!AD$11:AD$129)+SUMIF('StG 2'!$AO$11:$AO$53,$J41,'StG 2'!AD$11:AD$53)+SUMIF('StG 3'!$AO$10:$AO$50,$J41,'StG 3'!AD$10:AD$50)+SUMIF('StG 4'!$AO$10:$AO$20,$J41,'StG 4'!AD$10:AD$20)+SUMIF('StG 5'!$AO$8:$AO$40,$J41,'StG 5'!AD$8:AD$40)</f>
        <v>0</v>
      </c>
      <c r="C41" s="31">
        <f>+SUMIF('StG 1'!$AO$11:$AO$129,$J41,'StG 1'!AE$11:AE$129)+SUMIF('StG 2'!$AO$11:$AO$53,$J41,'StG 2'!AE$11:AE$53)+SUMIF('StG 3'!$AO$10:$AO$50,$J41,'StG 3'!AE$10:AE$50)+SUMIF('StG 4'!$AO$10:$AO$20,$J41,'StG 4'!AE$10:AE$20)+SUMIF('StG 5'!$AO$8:$AO$40,$J41,'StG 5'!AE$8:AE$40)</f>
        <v>0</v>
      </c>
      <c r="D41" s="31">
        <f>+SUMIF('StG 1'!$AO$11:$AO$129,$J41,'StG 1'!AF$11:AF$129)+SUMIF('StG 2'!$AO$11:$AO$53,$J41,'StG 2'!AF$11:AF$53)+SUMIF('StG 3'!$AO$10:$AO$50,$J41,'StG 3'!AF$10:AF$50)+SUMIF('StG 4'!$AO$10:$AO$20,$J41,'StG 4'!AF$10:AF$20)+SUMIF('StG 5'!$AO$8:$AO$40,$J41,'StG 5'!AF$8:AF$40)</f>
        <v>0</v>
      </c>
      <c r="E41" s="31">
        <f>+SUMIF('StG 1'!$AO$11:$AO$129,$J41,'StG 1'!AG$11:AG$129)+SUMIF('StG 2'!$AO$11:$AO$53,$J41,'StG 2'!AG$11:AG$53)+SUMIF('StG 3'!$AO$10:$AO$50,$J41,'StG 3'!AG$10:AG$50)+SUMIF('StG 4'!$AO$10:$AO$20,$J41,'StG 4'!AG$10:AG$20)+SUMIF('StG 5'!$AO$8:$AO$40,$J41,'StG 5'!AG$8:AG$40)</f>
        <v>0</v>
      </c>
      <c r="F41" s="31">
        <f>+SUMIF('StG 1'!$AO$11:$AO$129,$J41,'StG 1'!AH$11:AH$129)+SUMIF('StG 2'!$AO$11:$AO$53,$J41,'StG 2'!AH$11:AH$53)+SUMIF('StG 3'!$AO$10:$AO$50,$J41,'StG 3'!AH$10:AH$50)+SUMIF('StG 4'!$AO$10:$AO$20,$J41,'StG 4'!AH$10:AH$20)+SUMIF('StG 5'!$AO$8:$AO$40,$J41,'StG 5'!AH$8:AH$40)</f>
        <v>0</v>
      </c>
      <c r="G41" s="31">
        <f>+SUMIF('StG 1'!$AO$11:$AO$129,$J41,'StG 1'!AI$11:AI$129)+SUMIF('StG 2'!$AO$11:$AO$53,$J41,'StG 2'!AI$11:AI$53)+SUMIF('StG 3'!$AO$10:$AO$50,$J41,'StG 3'!AI$10:AI$50)+SUMIF('StG 4'!$AO$10:$AO$20,$J41,'StG 4'!AI$10:AI$20)+SUMIF('StG 5'!$AO$8:$AO$40,$J41,'StG 5'!AI$8:AI$40)</f>
        <v>0</v>
      </c>
      <c r="H41" s="31">
        <f>+SUMIF('StG 1'!$AO$11:$AO$129,$J41,'StG 1'!AJ$11:AJ$129)+SUMIF('StG 2'!$AO$11:$AO$53,$J41,'StG 2'!AJ$11:AJ$53)+SUMIF('StG 3'!$AO$10:$AO$50,$J41,'StG 3'!AJ$10:AJ$50)+SUMIF('StG 4'!$AO$10:$AO$20,$J41,'StG 4'!AJ$10:AJ$20)+SUMIF('StG 5'!$AO$8:$AO$40,$J41,'StG 5'!AJ$8:AJ$40)</f>
        <v>0</v>
      </c>
      <c r="I41" s="31">
        <f t="shared" si="9"/>
        <v>0</v>
      </c>
      <c r="J41">
        <v>12</v>
      </c>
    </row>
    <row r="42" spans="1:10" x14ac:dyDescent="0.25">
      <c r="A42" s="14" t="s">
        <v>795</v>
      </c>
      <c r="B42" s="31">
        <f>+SUMIF('StG 1'!$AO$11:$AO$129,$J42,'StG 1'!AD$11:AD$129)+SUMIF('StG 2'!$AO$11:$AO$53,$J42,'StG 2'!AD$11:AD$53)+SUMIF('StG 3'!$AO$10:$AO$50,$J42,'StG 3'!AD$10:AD$50)+SUMIF('StG 4'!$AO$10:$AO$20,$J42,'StG 4'!AD$10:AD$20)+SUMIF('StG 5'!$AO$8:$AO$40,$J42,'StG 5'!AD$8:AD$40)</f>
        <v>0</v>
      </c>
      <c r="C42" s="31">
        <f>+SUMIF('StG 1'!$AO$11:$AO$129,$J42,'StG 1'!AE$11:AE$129)+SUMIF('StG 2'!$AO$11:$AO$53,$J42,'StG 2'!AE$11:AE$53)+SUMIF('StG 3'!$AO$10:$AO$50,$J42,'StG 3'!AE$10:AE$50)+SUMIF('StG 4'!$AO$10:$AO$20,$J42,'StG 4'!AE$10:AE$20)+SUMIF('StG 5'!$AO$8:$AO$40,$J42,'StG 5'!AE$8:AE$40)</f>
        <v>0</v>
      </c>
      <c r="D42" s="31">
        <f>+SUMIF('StG 1'!$AO$11:$AO$129,$J42,'StG 1'!AF$11:AF$129)+SUMIF('StG 2'!$AO$11:$AO$53,$J42,'StG 2'!AF$11:AF$53)+SUMIF('StG 3'!$AO$10:$AO$50,$J42,'StG 3'!AF$10:AF$50)+SUMIF('StG 4'!$AO$10:$AO$20,$J42,'StG 4'!AF$10:AF$20)+SUMIF('StG 5'!$AO$8:$AO$40,$J42,'StG 5'!AF$8:AF$40)</f>
        <v>0</v>
      </c>
      <c r="E42" s="31">
        <f>+SUMIF('StG 1'!$AO$11:$AO$129,$J42,'StG 1'!AG$11:AG$129)+SUMIF('StG 2'!$AO$11:$AO$53,$J42,'StG 2'!AG$11:AG$53)+SUMIF('StG 3'!$AO$10:$AO$50,$J42,'StG 3'!AG$10:AG$50)+SUMIF('StG 4'!$AO$10:$AO$20,$J42,'StG 4'!AG$10:AG$20)+SUMIF('StG 5'!$AO$8:$AO$40,$J42,'StG 5'!AG$8:AG$40)</f>
        <v>0</v>
      </c>
      <c r="F42" s="31">
        <f>+SUMIF('StG 1'!$AO$11:$AO$129,$J42,'StG 1'!AH$11:AH$129)+SUMIF('StG 2'!$AO$11:$AO$53,$J42,'StG 2'!AH$11:AH$53)+SUMIF('StG 3'!$AO$10:$AO$50,$J42,'StG 3'!AH$10:AH$50)+SUMIF('StG 4'!$AO$10:$AO$20,$J42,'StG 4'!AH$10:AH$20)+SUMIF('StG 5'!$AO$8:$AO$40,$J42,'StG 5'!AH$8:AH$40)</f>
        <v>0</v>
      </c>
      <c r="G42" s="31">
        <f>+SUMIF('StG 1'!$AO$11:$AO$129,$J42,'StG 1'!AI$11:AI$129)+SUMIF('StG 2'!$AO$11:$AO$53,$J42,'StG 2'!AI$11:AI$53)+SUMIF('StG 3'!$AO$10:$AO$50,$J42,'StG 3'!AI$10:AI$50)+SUMIF('StG 4'!$AO$10:$AO$20,$J42,'StG 4'!AI$10:AI$20)+SUMIF('StG 5'!$AO$8:$AO$40,$J42,'StG 5'!AI$8:AI$40)</f>
        <v>0</v>
      </c>
      <c r="H42" s="31">
        <f>+SUMIF('StG 1'!$AO$11:$AO$129,$J42,'StG 1'!AJ$11:AJ$129)+SUMIF('StG 2'!$AO$11:$AO$53,$J42,'StG 2'!AJ$11:AJ$53)+SUMIF('StG 3'!$AO$10:$AO$50,$J42,'StG 3'!AJ$10:AJ$50)+SUMIF('StG 4'!$AO$10:$AO$20,$J42,'StG 4'!AJ$10:AJ$20)+SUMIF('StG 5'!$AO$8:$AO$40,$J42,'StG 5'!AJ$8:AJ$40)</f>
        <v>0</v>
      </c>
      <c r="I42" s="31">
        <f t="shared" si="9"/>
        <v>0</v>
      </c>
      <c r="J42">
        <v>13</v>
      </c>
    </row>
    <row r="43" spans="1:10" x14ac:dyDescent="0.25">
      <c r="A43" s="14" t="s">
        <v>797</v>
      </c>
      <c r="B43" s="31">
        <f>+SUMIF('StG 1'!$AO$11:$AO$129,$J43,'StG 1'!AD$11:AD$129)+SUMIF('StG 2'!$AO$11:$AO$53,$J43,'StG 2'!AD$11:AD$53)+SUMIF('StG 3'!$AO$10:$AO$50,$J43,'StG 3'!AD$10:AD$50)+SUMIF('StG 4'!$AO$10:$AO$20,$J43,'StG 4'!AD$10:AD$20)+SUMIF('StG 5'!$AO$8:$AO$40,$J43,'StG 5'!AD$8:AD$40)</f>
        <v>0</v>
      </c>
      <c r="C43" s="31">
        <f>+SUMIF('StG 1'!$AO$11:$AO$129,$J43,'StG 1'!AE$11:AE$129)+SUMIF('StG 2'!$AO$11:$AO$53,$J43,'StG 2'!AE$11:AE$53)+SUMIF('StG 3'!$AO$10:$AO$50,$J43,'StG 3'!AE$10:AE$50)+SUMIF('StG 4'!$AO$10:$AO$20,$J43,'StG 4'!AE$10:AE$20)+SUMIF('StG 5'!$AO$8:$AO$40,$J43,'StG 5'!AE$8:AE$40)</f>
        <v>0</v>
      </c>
      <c r="D43" s="31">
        <f>+SUMIF('StG 1'!$AO$11:$AO$129,$J43,'StG 1'!AF$11:AF$129)+SUMIF('StG 2'!$AO$11:$AO$53,$J43,'StG 2'!AF$11:AF$53)+SUMIF('StG 3'!$AO$10:$AO$50,$J43,'StG 3'!AF$10:AF$50)+SUMIF('StG 4'!$AO$10:$AO$20,$J43,'StG 4'!AF$10:AF$20)+SUMIF('StG 5'!$AO$8:$AO$40,$J43,'StG 5'!AF$8:AF$40)</f>
        <v>0</v>
      </c>
      <c r="E43" s="31">
        <f>+SUMIF('StG 1'!$AO$11:$AO$129,$J43,'StG 1'!AG$11:AG$129)+SUMIF('StG 2'!$AO$11:$AO$53,$J43,'StG 2'!AG$11:AG$53)+SUMIF('StG 3'!$AO$10:$AO$50,$J43,'StG 3'!AG$10:AG$50)+SUMIF('StG 4'!$AO$10:$AO$20,$J43,'StG 4'!AG$10:AG$20)+SUMIF('StG 5'!$AO$8:$AO$40,$J43,'StG 5'!AG$8:AG$40)</f>
        <v>0</v>
      </c>
      <c r="F43" s="31">
        <f>+SUMIF('StG 1'!$AO$11:$AO$129,$J43,'StG 1'!AH$11:AH$129)+SUMIF('StG 2'!$AO$11:$AO$53,$J43,'StG 2'!AH$11:AH$53)+SUMIF('StG 3'!$AO$10:$AO$50,$J43,'StG 3'!AH$10:AH$50)+SUMIF('StG 4'!$AO$10:$AO$20,$J43,'StG 4'!AH$10:AH$20)+SUMIF('StG 5'!$AO$8:$AO$40,$J43,'StG 5'!AH$8:AH$40)</f>
        <v>0</v>
      </c>
      <c r="G43" s="31">
        <f>+SUMIF('StG 1'!$AO$11:$AO$129,$J43,'StG 1'!AI$11:AI$129)+SUMIF('StG 2'!$AO$11:$AO$53,$J43,'StG 2'!AI$11:AI$53)+SUMIF('StG 3'!$AO$10:$AO$50,$J43,'StG 3'!AI$10:AI$50)+SUMIF('StG 4'!$AO$10:$AO$20,$J43,'StG 4'!AI$10:AI$20)+SUMIF('StG 5'!$AO$8:$AO$40,$J43,'StG 5'!AI$8:AI$40)</f>
        <v>0</v>
      </c>
      <c r="H43" s="31">
        <f>+SUMIF('StG 1'!$AO$11:$AO$129,$J43,'StG 1'!AJ$11:AJ$129)+SUMIF('StG 2'!$AO$11:$AO$53,$J43,'StG 2'!AJ$11:AJ$53)+SUMIF('StG 3'!$AO$10:$AO$50,$J43,'StG 3'!AJ$10:AJ$50)+SUMIF('StG 4'!$AO$10:$AO$20,$J43,'StG 4'!AJ$10:AJ$20)+SUMIF('StG 5'!$AO$8:$AO$40,$J43,'StG 5'!AJ$8:AJ$40)</f>
        <v>0</v>
      </c>
      <c r="I43" s="31">
        <f t="shared" si="9"/>
        <v>0</v>
      </c>
      <c r="J43">
        <v>14</v>
      </c>
    </row>
    <row r="44" spans="1:10" x14ac:dyDescent="0.25">
      <c r="A44" s="14" t="s">
        <v>984</v>
      </c>
      <c r="B44" s="31">
        <f>+SUMIF('StG 1'!$AO$11:$AO$129,$J44,'StG 1'!AD$11:AD$129)+SUMIF('StG 2'!$AO$11:$AO$53,$J44,'StG 2'!AD$11:AD$53)+SUMIF('StG 3'!$AO$10:$AO$50,$J44,'StG 3'!AD$10:AD$50)+SUMIF('StG 4'!$AO$10:$AO$20,$J44,'StG 4'!AD$10:AD$20)+SUMIF('StG 5'!$AO$8:$AO$40,$J44,'StG 5'!AD$8:AD$40)</f>
        <v>0</v>
      </c>
      <c r="C44" s="31">
        <f>+SUMIF('StG 1'!$AO$11:$AO$129,$J44,'StG 1'!AE$11:AE$129)+SUMIF('StG 2'!$AO$11:$AO$53,$J44,'StG 2'!AE$11:AE$53)+SUMIF('StG 3'!$AO$10:$AO$50,$J44,'StG 3'!AE$10:AE$50)+SUMIF('StG 4'!$AO$10:$AO$20,$J44,'StG 4'!AE$10:AE$20)+SUMIF('StG 5'!$AO$8:$AO$40,$J44,'StG 5'!AE$8:AE$40)</f>
        <v>0</v>
      </c>
      <c r="D44" s="31">
        <f>+SUMIF('StG 1'!$AO$11:$AO$129,$J44,'StG 1'!AF$11:AF$129)+SUMIF('StG 2'!$AO$11:$AO$53,$J44,'StG 2'!AF$11:AF$53)+SUMIF('StG 3'!$AO$10:$AO$50,$J44,'StG 3'!AF$10:AF$50)+SUMIF('StG 4'!$AO$10:$AO$20,$J44,'StG 4'!AF$10:AF$20)+SUMIF('StG 5'!$AO$8:$AO$40,$J44,'StG 5'!AF$8:AF$40)</f>
        <v>0</v>
      </c>
      <c r="E44" s="31">
        <f>+SUMIF('StG 1'!$AO$11:$AO$129,$J44,'StG 1'!AG$11:AG$129)+SUMIF('StG 2'!$AO$11:$AO$53,$J44,'StG 2'!AG$11:AG$53)+SUMIF('StG 3'!$AO$10:$AO$50,$J44,'StG 3'!AG$10:AG$50)+SUMIF('StG 4'!$AO$10:$AO$20,$J44,'StG 4'!AG$10:AG$20)+SUMIF('StG 5'!$AO$8:$AO$40,$J44,'StG 5'!AG$8:AG$40)</f>
        <v>0</v>
      </c>
      <c r="F44" s="31">
        <f>+SUMIF('StG 1'!$AO$11:$AO$129,$J44,'StG 1'!AH$11:AH$129)+SUMIF('StG 2'!$AO$11:$AO$53,$J44,'StG 2'!AH$11:AH$53)+SUMIF('StG 3'!$AO$10:$AO$50,$J44,'StG 3'!AH$10:AH$50)+SUMIF('StG 4'!$AO$10:$AO$20,$J44,'StG 4'!AH$10:AH$20)+SUMIF('StG 5'!$AO$8:$AO$40,$J44,'StG 5'!AH$8:AH$40)</f>
        <v>0</v>
      </c>
      <c r="G44" s="31">
        <f>+SUMIF('StG 1'!$AO$11:$AO$129,$J44,'StG 1'!AI$11:AI$129)+SUMIF('StG 2'!$AO$11:$AO$53,$J44,'StG 2'!AI$11:AI$53)+SUMIF('StG 3'!$AO$10:$AO$50,$J44,'StG 3'!AI$10:AI$50)+SUMIF('StG 4'!$AO$10:$AO$20,$J44,'StG 4'!AI$10:AI$20)+SUMIF('StG 5'!$AO$8:$AO$40,$J44,'StG 5'!AI$8:AI$40)</f>
        <v>0</v>
      </c>
      <c r="H44" s="31">
        <f>+SUMIF('StG 1'!$AO$11:$AO$129,$J44,'StG 1'!AJ$11:AJ$129)+SUMIF('StG 2'!$AO$11:$AO$53,$J44,'StG 2'!AJ$11:AJ$53)+SUMIF('StG 3'!$AO$10:$AO$50,$J44,'StG 3'!AJ$10:AJ$50)+SUMIF('StG 4'!$AO$10:$AO$20,$J44,'StG 4'!AJ$10:AJ$20)+SUMIF('StG 5'!$AO$8:$AO$40,$J44,'StG 5'!AJ$8:AJ$40)</f>
        <v>0</v>
      </c>
      <c r="I44" s="31">
        <f t="shared" si="9"/>
        <v>0</v>
      </c>
      <c r="J44">
        <v>15</v>
      </c>
    </row>
    <row r="45" spans="1:10" x14ac:dyDescent="0.25">
      <c r="A45" s="14" t="s">
        <v>985</v>
      </c>
      <c r="B45" s="31">
        <f>+SUMIF('StG 1'!$AO$11:$AO$129,$J45,'StG 1'!AD$11:AD$129)+SUMIF('StG 2'!$AO$11:$AO$53,$J45,'StG 2'!AD$11:AD$53)+SUMIF('StG 3'!$AO$10:$AO$50,$J45,'StG 3'!AD$10:AD$50)+SUMIF('StG 4'!$AO$10:$AO$20,$J45,'StG 4'!AD$10:AD$20)+SUMIF('StG 5'!$AO$8:$AO$40,$J45,'StG 5'!AD$8:AD$40)</f>
        <v>0</v>
      </c>
      <c r="C45" s="31">
        <f>+SUMIF('StG 1'!$AO$11:$AO$129,$J45,'StG 1'!AE$11:AE$129)+SUMIF('StG 2'!$AO$11:$AO$53,$J45,'StG 2'!AE$11:AE$53)+SUMIF('StG 3'!$AO$10:$AO$50,$J45,'StG 3'!AE$10:AE$50)+SUMIF('StG 4'!$AO$10:$AO$20,$J45,'StG 4'!AE$10:AE$20)+SUMIF('StG 5'!$AO$8:$AO$40,$J45,'StG 5'!AE$8:AE$40)</f>
        <v>0</v>
      </c>
      <c r="D45" s="31">
        <f>+SUMIF('StG 1'!$AO$11:$AO$129,$J45,'StG 1'!AF$11:AF$129)+SUMIF('StG 2'!$AO$11:$AO$53,$J45,'StG 2'!AF$11:AF$53)+SUMIF('StG 3'!$AO$10:$AO$50,$J45,'StG 3'!AF$10:AF$50)+SUMIF('StG 4'!$AO$10:$AO$20,$J45,'StG 4'!AF$10:AF$20)+SUMIF('StG 5'!$AO$8:$AO$40,$J45,'StG 5'!AF$8:AF$40)</f>
        <v>0</v>
      </c>
      <c r="E45" s="31">
        <f>+SUMIF('StG 1'!$AO$11:$AO$129,$J45,'StG 1'!AG$11:AG$129)+SUMIF('StG 2'!$AO$11:$AO$53,$J45,'StG 2'!AG$11:AG$53)+SUMIF('StG 3'!$AO$10:$AO$50,$J45,'StG 3'!AG$10:AG$50)+SUMIF('StG 4'!$AO$10:$AO$20,$J45,'StG 4'!AG$10:AG$20)+SUMIF('StG 5'!$AO$8:$AO$40,$J45,'StG 5'!AG$8:AG$40)</f>
        <v>0</v>
      </c>
      <c r="F45" s="31">
        <f>+SUMIF('StG 1'!$AO$11:$AO$129,$J45,'StG 1'!AH$11:AH$129)+SUMIF('StG 2'!$AO$11:$AO$53,$J45,'StG 2'!AH$11:AH$53)+SUMIF('StG 3'!$AO$10:$AO$50,$J45,'StG 3'!AH$10:AH$50)+SUMIF('StG 4'!$AO$10:$AO$20,$J45,'StG 4'!AH$10:AH$20)+SUMIF('StG 5'!$AO$8:$AO$40,$J45,'StG 5'!AH$8:AH$40)</f>
        <v>0</v>
      </c>
      <c r="G45" s="31">
        <f>+SUMIF('StG 1'!$AO$11:$AO$129,$J45,'StG 1'!AI$11:AI$129)+SUMIF('StG 2'!$AO$11:$AO$53,$J45,'StG 2'!AI$11:AI$53)+SUMIF('StG 3'!$AO$10:$AO$50,$J45,'StG 3'!AI$10:AI$50)+SUMIF('StG 4'!$AO$10:$AO$20,$J45,'StG 4'!AI$10:AI$20)+SUMIF('StG 5'!$AO$8:$AO$40,$J45,'StG 5'!AI$8:AI$40)</f>
        <v>0</v>
      </c>
      <c r="H45" s="31">
        <f>+SUMIF('StG 1'!$AO$11:$AO$129,$J45,'StG 1'!AJ$11:AJ$129)+SUMIF('StG 2'!$AO$11:$AO$53,$J45,'StG 2'!AJ$11:AJ$53)+SUMIF('StG 3'!$AO$10:$AO$50,$J45,'StG 3'!AJ$10:AJ$50)+SUMIF('StG 4'!$AO$10:$AO$20,$J45,'StG 4'!AJ$10:AJ$20)+SUMIF('StG 5'!$AO$8:$AO$40,$J45,'StG 5'!AJ$8:AJ$40)</f>
        <v>0</v>
      </c>
      <c r="I45" s="31">
        <f t="shared" si="9"/>
        <v>0</v>
      </c>
      <c r="J45">
        <v>16</v>
      </c>
    </row>
    <row r="46" spans="1:10" x14ac:dyDescent="0.25">
      <c r="A46" s="14" t="s">
        <v>986</v>
      </c>
      <c r="B46" s="31">
        <f>+SUMIF('StG 1'!$AO$11:$AO$129,$J46,'StG 1'!AD$11:AD$129)+SUMIF('StG 2'!$AO$11:$AO$53,$J46,'StG 2'!AD$11:AD$53)+SUMIF('StG 3'!$AO$10:$AO$50,$J46,'StG 3'!AD$10:AD$50)+SUMIF('StG 4'!$AO$10:$AO$20,$J46,'StG 4'!AD$10:AD$20)+SUMIF('StG 5'!$AO$8:$AO$40,$J46,'StG 5'!AD$8:AD$40)</f>
        <v>0</v>
      </c>
      <c r="C46" s="31">
        <f>+SUMIF('StG 1'!$AO$11:$AO$129,$J46,'StG 1'!AE$11:AE$129)+SUMIF('StG 2'!$AO$11:$AO$53,$J46,'StG 2'!AE$11:AE$53)+SUMIF('StG 3'!$AO$10:$AO$50,$J46,'StG 3'!AE$10:AE$50)+SUMIF('StG 4'!$AO$10:$AO$20,$J46,'StG 4'!AE$10:AE$20)+SUMIF('StG 5'!$AO$8:$AO$40,$J46,'StG 5'!AE$8:AE$40)</f>
        <v>0</v>
      </c>
      <c r="D46" s="31">
        <f>+SUMIF('StG 1'!$AO$11:$AO$129,$J46,'StG 1'!AF$11:AF$129)+SUMIF('StG 2'!$AO$11:$AO$53,$J46,'StG 2'!AF$11:AF$53)+SUMIF('StG 3'!$AO$10:$AO$50,$J46,'StG 3'!AF$10:AF$50)+SUMIF('StG 4'!$AO$10:$AO$20,$J46,'StG 4'!AF$10:AF$20)+SUMIF('StG 5'!$AO$8:$AO$40,$J46,'StG 5'!AF$8:AF$40)</f>
        <v>0</v>
      </c>
      <c r="E46" s="31">
        <f>+SUMIF('StG 1'!$AO$11:$AO$129,$J46,'StG 1'!AG$11:AG$129)+SUMIF('StG 2'!$AO$11:$AO$53,$J46,'StG 2'!AG$11:AG$53)+SUMIF('StG 3'!$AO$10:$AO$50,$J46,'StG 3'!AG$10:AG$50)+SUMIF('StG 4'!$AO$10:$AO$20,$J46,'StG 4'!AG$10:AG$20)+SUMIF('StG 5'!$AO$8:$AO$40,$J46,'StG 5'!AG$8:AG$40)</f>
        <v>0</v>
      </c>
      <c r="F46" s="31">
        <f>+SUMIF('StG 1'!$AO$11:$AO$129,$J46,'StG 1'!AH$11:AH$129)+SUMIF('StG 2'!$AO$11:$AO$53,$J46,'StG 2'!AH$11:AH$53)+SUMIF('StG 3'!$AO$10:$AO$50,$J46,'StG 3'!AH$10:AH$50)+SUMIF('StG 4'!$AO$10:$AO$20,$J46,'StG 4'!AH$10:AH$20)+SUMIF('StG 5'!$AO$8:$AO$40,$J46,'StG 5'!AH$8:AH$40)</f>
        <v>0</v>
      </c>
      <c r="G46" s="31">
        <f>+SUMIF('StG 1'!$AO$11:$AO$129,$J46,'StG 1'!AI$11:AI$129)+SUMIF('StG 2'!$AO$11:$AO$53,$J46,'StG 2'!AI$11:AI$53)+SUMIF('StG 3'!$AO$10:$AO$50,$J46,'StG 3'!AI$10:AI$50)+SUMIF('StG 4'!$AO$10:$AO$20,$J46,'StG 4'!AI$10:AI$20)+SUMIF('StG 5'!$AO$8:$AO$40,$J46,'StG 5'!AI$8:AI$40)</f>
        <v>0</v>
      </c>
      <c r="H46" s="31">
        <f>+SUMIF('StG 1'!$AO$11:$AO$129,$J46,'StG 1'!AJ$11:AJ$129)+SUMIF('StG 2'!$AO$11:$AO$53,$J46,'StG 2'!AJ$11:AJ$53)+SUMIF('StG 3'!$AO$10:$AO$50,$J46,'StG 3'!AJ$10:AJ$50)+SUMIF('StG 4'!$AO$10:$AO$20,$J46,'StG 4'!AJ$10:AJ$20)+SUMIF('StG 5'!$AO$8:$AO$40,$J46,'StG 5'!AJ$8:AJ$40)</f>
        <v>0</v>
      </c>
      <c r="I46" s="31">
        <f t="shared" si="9"/>
        <v>0</v>
      </c>
      <c r="J46">
        <v>17</v>
      </c>
    </row>
    <row r="47" spans="1:10" x14ac:dyDescent="0.25">
      <c r="A47" s="14" t="s">
        <v>987</v>
      </c>
      <c r="B47" s="31">
        <f>+SUMIF('StG 1'!$AO$11:$AO$129,$J47,'StG 1'!AD$11:AD$129)+SUMIF('StG 2'!$AO$11:$AO$53,$J47,'StG 2'!AD$11:AD$53)+SUMIF('StG 3'!$AO$10:$AO$50,$J47,'StG 3'!AD$10:AD$50)+SUMIF('StG 4'!$AO$10:$AO$20,$J47,'StG 4'!AD$10:AD$20)+SUMIF('StG 5'!$AO$8:$AO$40,$J47,'StG 5'!AD$8:AD$40)</f>
        <v>0</v>
      </c>
      <c r="C47" s="31">
        <f>+SUMIF('StG 1'!$AO$11:$AO$129,$J47,'StG 1'!AE$11:AE$129)+SUMIF('StG 2'!$AO$11:$AO$53,$J47,'StG 2'!AE$11:AE$53)+SUMIF('StG 3'!$AO$10:$AO$50,$J47,'StG 3'!AE$10:AE$50)+SUMIF('StG 4'!$AO$10:$AO$20,$J47,'StG 4'!AE$10:AE$20)+SUMIF('StG 5'!$AO$8:$AO$40,$J47,'StG 5'!AE$8:AE$40)</f>
        <v>0</v>
      </c>
      <c r="D47" s="31">
        <f>+SUMIF('StG 1'!$AO$11:$AO$129,$J47,'StG 1'!AF$11:AF$129)+SUMIF('StG 2'!$AO$11:$AO$53,$J47,'StG 2'!AF$11:AF$53)+SUMIF('StG 3'!$AO$10:$AO$50,$J47,'StG 3'!AF$10:AF$50)+SUMIF('StG 4'!$AO$10:$AO$20,$J47,'StG 4'!AF$10:AF$20)+SUMIF('StG 5'!$AO$8:$AO$40,$J47,'StG 5'!AF$8:AF$40)</f>
        <v>0</v>
      </c>
      <c r="E47" s="31">
        <f>+SUMIF('StG 1'!$AO$11:$AO$129,$J47,'StG 1'!AG$11:AG$129)+SUMIF('StG 2'!$AO$11:$AO$53,$J47,'StG 2'!AG$11:AG$53)+SUMIF('StG 3'!$AO$10:$AO$50,$J47,'StG 3'!AG$10:AG$50)+SUMIF('StG 4'!$AO$10:$AO$20,$J47,'StG 4'!AG$10:AG$20)+SUMIF('StG 5'!$AO$8:$AO$40,$J47,'StG 5'!AG$8:AG$40)</f>
        <v>0</v>
      </c>
      <c r="F47" s="31">
        <f>+SUMIF('StG 1'!$AO$11:$AO$129,$J47,'StG 1'!AH$11:AH$129)+SUMIF('StG 2'!$AO$11:$AO$53,$J47,'StG 2'!AH$11:AH$53)+SUMIF('StG 3'!$AO$10:$AO$50,$J47,'StG 3'!AH$10:AH$50)+SUMIF('StG 4'!$AO$10:$AO$20,$J47,'StG 4'!AH$10:AH$20)+SUMIF('StG 5'!$AO$8:$AO$40,$J47,'StG 5'!AH$8:AH$40)</f>
        <v>0</v>
      </c>
      <c r="G47" s="31">
        <f>+SUMIF('StG 1'!$AO$11:$AO$129,$J47,'StG 1'!AI$11:AI$129)+SUMIF('StG 2'!$AO$11:$AO$53,$J47,'StG 2'!AI$11:AI$53)+SUMIF('StG 3'!$AO$10:$AO$50,$J47,'StG 3'!AI$10:AI$50)+SUMIF('StG 4'!$AO$10:$AO$20,$J47,'StG 4'!AI$10:AI$20)+SUMIF('StG 5'!$AO$8:$AO$40,$J47,'StG 5'!AI$8:AI$40)</f>
        <v>0</v>
      </c>
      <c r="H47" s="31">
        <f>+SUMIF('StG 1'!$AO$11:$AO$129,$J47,'StG 1'!AJ$11:AJ$129)+SUMIF('StG 2'!$AO$11:$AO$53,$J47,'StG 2'!AJ$11:AJ$53)+SUMIF('StG 3'!$AO$10:$AO$50,$J47,'StG 3'!AJ$10:AJ$50)+SUMIF('StG 4'!$AO$10:$AO$20,$J47,'StG 4'!AJ$10:AJ$20)+SUMIF('StG 5'!$AO$8:$AO$40,$J47,'StG 5'!AJ$8:AJ$40)</f>
        <v>0</v>
      </c>
      <c r="I47" s="31">
        <f>SUM(B47:H47)</f>
        <v>0</v>
      </c>
      <c r="J47">
        <v>18</v>
      </c>
    </row>
    <row r="49" spans="1:16" ht="18.75" x14ac:dyDescent="0.3">
      <c r="A49" s="33" t="s">
        <v>802</v>
      </c>
      <c r="B49" s="33">
        <v>2018</v>
      </c>
      <c r="C49" s="33">
        <v>2019</v>
      </c>
      <c r="D49" s="33">
        <v>2020</v>
      </c>
      <c r="E49" s="33">
        <v>2021</v>
      </c>
      <c r="F49" s="33">
        <v>2022</v>
      </c>
      <c r="G49" s="33">
        <v>2023</v>
      </c>
      <c r="H49" s="33">
        <v>2024</v>
      </c>
      <c r="I49" s="33">
        <v>2025</v>
      </c>
      <c r="J49" s="33">
        <v>2026</v>
      </c>
      <c r="K49" s="33">
        <v>2027</v>
      </c>
      <c r="L49" s="33">
        <v>2028</v>
      </c>
      <c r="M49" s="33">
        <v>2029</v>
      </c>
      <c r="N49" s="33">
        <v>2030</v>
      </c>
    </row>
    <row r="50" spans="1:16" x14ac:dyDescent="0.25">
      <c r="A50" s="16" t="s">
        <v>190</v>
      </c>
      <c r="B50" s="25">
        <f>+'Strategic level'!H5</f>
        <v>1048.5</v>
      </c>
      <c r="C50" s="25">
        <f>+'Strategic level'!I5</f>
        <v>1077.4000000000001</v>
      </c>
      <c r="D50" s="25">
        <f>+'Strategic level'!J5</f>
        <v>1052.4000000000001</v>
      </c>
      <c r="E50" s="25">
        <f>+'Strategic level'!K5</f>
        <v>1088.3</v>
      </c>
      <c r="F50" s="25">
        <f>+'Strategic level'!L5</f>
        <v>1134.78</v>
      </c>
      <c r="G50" s="25">
        <f>+'Strategic level'!M5</f>
        <v>1157.4373226259627</v>
      </c>
      <c r="H50" s="25">
        <f>+'Strategic level'!O5</f>
        <v>1186.3732556916116</v>
      </c>
      <c r="I50" s="25">
        <f>+'Strategic level'!P5</f>
        <v>1216.0325870839017</v>
      </c>
      <c r="J50" s="25">
        <f>+'Strategic level'!Q5</f>
        <v>1252.5135646964188</v>
      </c>
      <c r="K50" s="25">
        <f>+'Strategic level'!R5</f>
        <v>1290.0889716373115</v>
      </c>
      <c r="L50" s="25">
        <f>+'Strategic level'!S5</f>
        <v>1328.7916407864309</v>
      </c>
      <c r="M50" s="25">
        <f>+'Strategic level'!T5</f>
        <v>1368.6553900100239</v>
      </c>
      <c r="N50" s="25">
        <f>+'Strategic level'!U5</f>
        <v>1409.7150517103246</v>
      </c>
      <c r="P50" s="25">
        <f>+N50-G50</f>
        <v>252.27772908436191</v>
      </c>
    </row>
    <row r="51" spans="1:16" x14ac:dyDescent="0.25">
      <c r="A51" s="16" t="s">
        <v>214</v>
      </c>
      <c r="B51" s="20">
        <f>+'Strategic level'!H4</f>
        <v>0.47737206337643412</v>
      </c>
      <c r="C51" s="20">
        <f>+'Strategic level'!I4</f>
        <v>0.48948253146154203</v>
      </c>
      <c r="D51" s="20">
        <f>+'Strategic level'!J4</f>
        <v>0.47836363636363638</v>
      </c>
      <c r="E51" s="20">
        <f>+'Strategic level'!K4</f>
        <v>0.4886623860625926</v>
      </c>
      <c r="F51" s="20">
        <f>+'Strategic level'!L4</f>
        <v>0.50920904728036387</v>
      </c>
      <c r="G51" s="20">
        <f>+'Strategic level'!M4</f>
        <v>0.51457707558489219</v>
      </c>
      <c r="H51" s="20">
        <f>+'Strategic level'!O4</f>
        <v>0.52439363750390611</v>
      </c>
      <c r="I51" s="20">
        <f>+'Strategic level'!P4</f>
        <v>0.53528182603995766</v>
      </c>
      <c r="J51" s="20">
        <f>+'Strategic level'!Q4</f>
        <v>0.5499292333598147</v>
      </c>
      <c r="K51" s="20">
        <f>+'Strategic level'!R4</f>
        <v>0.56505080934190888</v>
      </c>
      <c r="L51" s="20">
        <f>+'Strategic level'!S4</f>
        <v>0.58034541891810121</v>
      </c>
      <c r="M51" s="20">
        <f>+'Strategic level'!T4</f>
        <v>0.59644252908054918</v>
      </c>
      <c r="N51" s="20">
        <f>+'Strategic level'!U4</f>
        <v>0.6137337423508149</v>
      </c>
    </row>
    <row r="52" spans="1:16" x14ac:dyDescent="0.25">
      <c r="A52" s="16" t="s">
        <v>958</v>
      </c>
      <c r="B52" s="20"/>
      <c r="C52" s="20"/>
      <c r="D52" s="20"/>
      <c r="E52" s="20"/>
      <c r="F52" s="20"/>
      <c r="G52" s="54">
        <f>G50</f>
        <v>1157.4373226259627</v>
      </c>
      <c r="H52" s="54">
        <f>G50*1.002</f>
        <v>1159.7521972712145</v>
      </c>
      <c r="I52" s="54">
        <f>H52*1.002</f>
        <v>1162.071701665757</v>
      </c>
      <c r="J52" s="54">
        <f t="shared" ref="J52:N52" si="10">I52*1.002</f>
        <v>1164.3958450690886</v>
      </c>
      <c r="K52" s="54">
        <f t="shared" si="10"/>
        <v>1166.7246367592268</v>
      </c>
      <c r="L52" s="54">
        <f t="shared" si="10"/>
        <v>1169.0580860327452</v>
      </c>
      <c r="M52" s="54">
        <f t="shared" si="10"/>
        <v>1171.3962022048106</v>
      </c>
      <c r="N52" s="54">
        <f t="shared" si="10"/>
        <v>1173.7389946092203</v>
      </c>
    </row>
    <row r="53" spans="1:16" x14ac:dyDescent="0.25">
      <c r="A53" s="16" t="s">
        <v>959</v>
      </c>
      <c r="B53" s="20"/>
      <c r="C53" s="20"/>
      <c r="D53" s="20"/>
      <c r="E53" s="20"/>
      <c r="F53" s="20"/>
      <c r="G53" s="20">
        <f>G52/'Strategic level'!M6</f>
        <v>0.51457707558489219</v>
      </c>
      <c r="H53" s="20">
        <f>H52/'Strategic level'!O6</f>
        <v>0.51262675588186724</v>
      </c>
      <c r="I53" s="20">
        <f>I52/'Strategic level'!P6</f>
        <v>0.5115289417931439</v>
      </c>
      <c r="J53" s="20">
        <f>J52/'Strategic level'!Q6</f>
        <v>0.51124022322377038</v>
      </c>
      <c r="K53" s="20">
        <f>K52/'Strategic level'!R6</f>
        <v>0.51101801098512611</v>
      </c>
      <c r="L53" s="20">
        <f>L52/'Strategic level'!S6</f>
        <v>0.5105823094106231</v>
      </c>
      <c r="M53" s="20">
        <f>M52/'Strategic level'!T6</f>
        <v>0.51047949578693486</v>
      </c>
      <c r="N53" s="20">
        <f>N52/'Strategic level'!U6</f>
        <v>0.51099917308155662</v>
      </c>
    </row>
    <row r="54" spans="1:16" x14ac:dyDescent="0.25">
      <c r="A54" t="s">
        <v>943</v>
      </c>
      <c r="B54" s="20"/>
      <c r="C54" s="20"/>
      <c r="D54" s="20"/>
      <c r="E54" s="54">
        <f>SUM('Strategic level'!K26:K29)</f>
        <v>253.41499999999999</v>
      </c>
      <c r="F54" s="54">
        <f>SUM('Strategic level'!L26:L29)</f>
        <v>261.58099999999996</v>
      </c>
      <c r="G54" s="54">
        <f>SUM('Strategic level'!M26:M29)</f>
        <v>255.44638970696784</v>
      </c>
      <c r="H54" s="54">
        <f>SUM('Strategic level'!O26:O29)</f>
        <v>249.15030294918338</v>
      </c>
      <c r="I54" s="54">
        <f>SUM('Strategic level'!P26:P29)</f>
        <v>243.17915600568543</v>
      </c>
      <c r="J54" s="54">
        <f>SUM('Strategic level'!Q26:Q29)</f>
        <v>237.50311877054091</v>
      </c>
      <c r="K54" s="54">
        <f>SUM('Strategic level'!R26:R29)</f>
        <v>232.0955795734717</v>
      </c>
      <c r="L54" s="54">
        <f>SUM('Strategic level'!S26:S29)</f>
        <v>226.93278800351382</v>
      </c>
      <c r="M54" s="54">
        <f>SUM('Strategic level'!T26:T29)</f>
        <v>221.99353754815084</v>
      </c>
      <c r="N54" s="54">
        <f>SUM('Strategic level'!U26:U29)</f>
        <v>217.25888360631333</v>
      </c>
    </row>
    <row r="55" spans="1:16" x14ac:dyDescent="0.25">
      <c r="A55" t="s">
        <v>944</v>
      </c>
      <c r="B55" s="20"/>
      <c r="C55" s="20"/>
      <c r="D55" s="20"/>
      <c r="E55" s="54">
        <f>E50-E54</f>
        <v>834.88499999999999</v>
      </c>
      <c r="F55" s="54">
        <f t="shared" ref="F55:N55" si="11">F50-F54</f>
        <v>873.19900000000007</v>
      </c>
      <c r="G55" s="54">
        <f t="shared" si="11"/>
        <v>901.99093291899487</v>
      </c>
      <c r="H55" s="54">
        <f t="shared" si="11"/>
        <v>937.22295274242822</v>
      </c>
      <c r="I55" s="54">
        <f t="shared" si="11"/>
        <v>972.85343107821632</v>
      </c>
      <c r="J55" s="54">
        <f t="shared" si="11"/>
        <v>1015.0104459258779</v>
      </c>
      <c r="K55" s="54">
        <f t="shared" si="11"/>
        <v>1057.9933920638398</v>
      </c>
      <c r="L55" s="54">
        <f t="shared" si="11"/>
        <v>1101.858852782917</v>
      </c>
      <c r="M55" s="54">
        <f t="shared" si="11"/>
        <v>1146.661852461873</v>
      </c>
      <c r="N55" s="54">
        <f t="shared" si="11"/>
        <v>1192.4561681040113</v>
      </c>
    </row>
    <row r="56" spans="1:16" x14ac:dyDescent="0.25">
      <c r="A56" t="s">
        <v>945</v>
      </c>
      <c r="B56" s="20"/>
      <c r="C56" s="20"/>
      <c r="D56" s="20"/>
      <c r="E56" s="21">
        <f>E54/E$50</f>
        <v>0.23285399246531288</v>
      </c>
      <c r="F56" s="21">
        <f t="shared" ref="F56:N56" si="12">F54/F$50</f>
        <v>0.23051252225100899</v>
      </c>
      <c r="G56" s="21">
        <f t="shared" si="12"/>
        <v>0.22069997632996483</v>
      </c>
      <c r="H56" s="21">
        <f t="shared" si="12"/>
        <v>0.21001004679925797</v>
      </c>
      <c r="I56" s="21">
        <f t="shared" si="12"/>
        <v>0.19997749944254328</v>
      </c>
      <c r="J56" s="21">
        <f t="shared" si="12"/>
        <v>0.18962119490347104</v>
      </c>
      <c r="K56" s="21">
        <f t="shared" si="12"/>
        <v>0.17990664572452586</v>
      </c>
      <c r="L56" s="21">
        <f t="shared" si="12"/>
        <v>0.1707813181825904</v>
      </c>
      <c r="M56" s="21">
        <f t="shared" si="12"/>
        <v>0.16219827077619953</v>
      </c>
      <c r="N56" s="21">
        <f t="shared" si="12"/>
        <v>0.1541154599596038</v>
      </c>
    </row>
    <row r="57" spans="1:16" x14ac:dyDescent="0.25">
      <c r="A57" t="s">
        <v>946</v>
      </c>
      <c r="B57" s="20"/>
      <c r="C57" s="20"/>
      <c r="D57" s="20"/>
      <c r="E57" s="21">
        <f>E55/E$50</f>
        <v>0.7671460075346872</v>
      </c>
      <c r="F57" s="21">
        <f t="shared" ref="F57:N57" si="13">F55/F$50</f>
        <v>0.76948747774899107</v>
      </c>
      <c r="G57" s="21">
        <f t="shared" si="13"/>
        <v>0.77930002367003515</v>
      </c>
      <c r="H57" s="21">
        <f t="shared" si="13"/>
        <v>0.78998995320074206</v>
      </c>
      <c r="I57" s="21">
        <f t="shared" si="13"/>
        <v>0.80002250055745672</v>
      </c>
      <c r="J57" s="21">
        <f t="shared" si="13"/>
        <v>0.81037880509652893</v>
      </c>
      <c r="K57" s="21">
        <f t="shared" si="13"/>
        <v>0.82009335427547414</v>
      </c>
      <c r="L57" s="21">
        <f t="shared" si="13"/>
        <v>0.82921868181740954</v>
      </c>
      <c r="M57" s="21">
        <f t="shared" si="13"/>
        <v>0.83780172922380036</v>
      </c>
      <c r="N57" s="21">
        <f t="shared" si="13"/>
        <v>0.84588454004039626</v>
      </c>
    </row>
    <row r="58" spans="1:16" x14ac:dyDescent="0.25">
      <c r="A58" s="16" t="s">
        <v>308</v>
      </c>
      <c r="B58" s="22">
        <f>+'Strategic level'!H11</f>
        <v>496.8</v>
      </c>
      <c r="C58" s="22">
        <f>+'Strategic level'!I11</f>
        <v>457.7</v>
      </c>
      <c r="D58" s="22">
        <f>+'Strategic level'!J11</f>
        <v>442.5</v>
      </c>
      <c r="E58" s="22">
        <f>+'Strategic level'!K11</f>
        <v>381</v>
      </c>
      <c r="F58" s="22">
        <f>+'Strategic level'!L11</f>
        <v>338.71800000000002</v>
      </c>
      <c r="G58" s="22">
        <f>+'Strategic level'!M11</f>
        <v>340.5596942416588</v>
      </c>
      <c r="H58" s="22">
        <f>+'Strategic level'!O11</f>
        <v>319.69975597572102</v>
      </c>
      <c r="I58" s="22">
        <f>+'Strategic level'!P11</f>
        <v>299.40027099946485</v>
      </c>
      <c r="J58" s="22">
        <f>+'Strategic level'!Q11</f>
        <v>274.436914843718</v>
      </c>
      <c r="K58" s="22">
        <f>+'Strategic level'!R11</f>
        <v>243.59460809190563</v>
      </c>
      <c r="L58" s="22">
        <f>+'Strategic level'!S11</f>
        <v>218.1798647652457</v>
      </c>
      <c r="M58" s="22">
        <f>+'Strategic level'!T11</f>
        <v>192.50470582016737</v>
      </c>
      <c r="N58" s="22">
        <f>+'Strategic level'!U11</f>
        <v>166.54635990594582</v>
      </c>
      <c r="P58" s="25">
        <f>+N58-G58</f>
        <v>-174.01333433571298</v>
      </c>
    </row>
    <row r="59" spans="1:16" x14ac:dyDescent="0.25">
      <c r="A59" s="16" t="s">
        <v>960</v>
      </c>
      <c r="B59" s="22"/>
      <c r="C59" s="22"/>
      <c r="D59" s="22"/>
      <c r="E59" s="22"/>
      <c r="F59" s="22"/>
      <c r="G59" s="22">
        <f>G58</f>
        <v>340.5596942416588</v>
      </c>
      <c r="H59" s="22">
        <f>G59*1.002/((1+_xlfn.RRI(4,'Strategic level'!$H$18,'Strategic level'!$L$18))*(1+_xlfn.RRI(4,'Strategic level'!$H$17,'Strategic level'!$L$17)))</f>
        <v>348.64221264300829</v>
      </c>
      <c r="I59" s="22">
        <f>H59*1.002/((1+_xlfn.RRI(4,'Strategic level'!$H$18,'Strategic level'!$L$18))*(1+_xlfn.RRI(4,'Strategic level'!$H$17,'Strategic level'!$L$17)))</f>
        <v>356.91655381379508</v>
      </c>
      <c r="J59" s="22">
        <f>I59*1.002/((1+_xlfn.RRI(4,'Strategic level'!$H$18,'Strategic level'!$L$18))*(1+_xlfn.RRI(4,'Strategic level'!$H$17,'Strategic level'!$L$17)))</f>
        <v>365.38727029235531</v>
      </c>
      <c r="K59" s="22">
        <f>J59*1.002/((1+_xlfn.RRI(4,'Strategic level'!$H$18,'Strategic level'!$L$18))*(1+_xlfn.RRI(4,'Strategic level'!$H$17,'Strategic level'!$L$17)))</f>
        <v>374.05902266262035</v>
      </c>
      <c r="L59" s="22">
        <f>K59*1.002/((1+_xlfn.RRI(4,'Strategic level'!$H$18,'Strategic level'!$L$18))*(1+_xlfn.RRI(4,'Strategic level'!$H$17,'Strategic level'!$L$17)))</f>
        <v>382.93658211836765</v>
      </c>
      <c r="M59" s="22">
        <f>L59*1.002/((1+_xlfn.RRI(4,'Strategic level'!$H$18,'Strategic level'!$L$18))*(1+_xlfn.RRI(4,'Strategic level'!$H$17,'Strategic level'!$L$17)))</f>
        <v>392.02483308832927</v>
      </c>
      <c r="N59" s="22">
        <f>M59*1.002/((1+_xlfn.RRI(4,'Strategic level'!$H$18,'Strategic level'!$L$18))*(1+_xlfn.RRI(4,'Strategic level'!$H$17,'Strategic level'!$L$17)))</f>
        <v>401.32877592360211</v>
      </c>
      <c r="P59" s="25"/>
    </row>
    <row r="60" spans="1:16" x14ac:dyDescent="0.25">
      <c r="A60" s="16" t="s">
        <v>215</v>
      </c>
      <c r="B60" s="20">
        <f>+'Strategic level'!H10</f>
        <v>0.22618830814059371</v>
      </c>
      <c r="C60" s="20">
        <f>+'Strategic level'!I10</f>
        <v>0.20794148380355276</v>
      </c>
      <c r="D60" s="20">
        <f>+'Strategic level'!J10</f>
        <v>0.20113636363636364</v>
      </c>
      <c r="E60" s="20">
        <f>+'Strategic level'!K10</f>
        <v>0.17107449149117687</v>
      </c>
      <c r="F60" s="20">
        <f>+'Strategic level'!L10</f>
        <v>0.15199269468682061</v>
      </c>
      <c r="G60" s="20">
        <f>+'Strategic level'!M10</f>
        <v>0.15140708537665648</v>
      </c>
      <c r="H60" s="20">
        <f>+'Strategic level'!O10</f>
        <v>0.14131178121297638</v>
      </c>
      <c r="I60" s="20">
        <f>+'Strategic level'!P10</f>
        <v>0.13179212915812605</v>
      </c>
      <c r="J60" s="20">
        <f>+'Strategic level'!Q10</f>
        <v>0.12049440935373697</v>
      </c>
      <c r="K60" s="20">
        <f>+'Strategic level'!R10</f>
        <v>0.10669289752858431</v>
      </c>
      <c r="L60" s="20">
        <f>+'Strategic level'!S10</f>
        <v>9.5289344943307056E-2</v>
      </c>
      <c r="M60" s="20">
        <f>+'Strategic level'!T10</f>
        <v>8.3891090801495927E-2</v>
      </c>
      <c r="N60" s="20">
        <f>+'Strategic level'!U10</f>
        <v>7.2507646574369922E-2</v>
      </c>
    </row>
    <row r="61" spans="1:16" x14ac:dyDescent="0.25">
      <c r="A61" s="16" t="s">
        <v>225</v>
      </c>
      <c r="B61" s="25">
        <f>+'Strategic level'!H8</f>
        <v>30995.065971076976</v>
      </c>
      <c r="C61" s="25">
        <f>+'Strategic level'!I8</f>
        <v>32593.070650023092</v>
      </c>
      <c r="D61" s="25">
        <f>+'Strategic level'!J8</f>
        <v>30798.3607807599</v>
      </c>
      <c r="E61" s="25">
        <f>+'Strategic level'!K8</f>
        <v>32729.479587631748</v>
      </c>
      <c r="F61" s="25">
        <f>+'Strategic level'!L8</f>
        <v>36792.807530452948</v>
      </c>
      <c r="G61" s="25">
        <f>+'Strategic level'!M8</f>
        <v>38957.090326361948</v>
      </c>
      <c r="H61" s="25">
        <f>+'Strategic level'!O8</f>
        <v>41047.470782898454</v>
      </c>
      <c r="I61" s="25">
        <f>+'Strategic level'!P8</f>
        <v>43250.017995639355</v>
      </c>
      <c r="J61" s="25">
        <f>+'Strategic level'!Q8</f>
        <v>45349.533432320874</v>
      </c>
      <c r="K61" s="25">
        <f>+'Strategic level'!R8</f>
        <v>47550.967094084022</v>
      </c>
      <c r="L61" s="25">
        <f>+'Strategic level'!S8</f>
        <v>49859.266467583249</v>
      </c>
      <c r="M61" s="25">
        <f>+'Strategic level'!T8</f>
        <v>52279.619208728065</v>
      </c>
      <c r="N61" s="25">
        <f>+'Strategic level'!U8</f>
        <v>54817.464801384769</v>
      </c>
      <c r="P61" s="20">
        <f>+(N61-G61)/G61</f>
        <v>0.40712420620105283</v>
      </c>
    </row>
    <row r="62" spans="1:16" x14ac:dyDescent="0.25">
      <c r="A62" s="16" t="s">
        <v>961</v>
      </c>
      <c r="B62" s="25"/>
      <c r="C62" s="25"/>
      <c r="D62" s="25"/>
      <c r="E62" s="25"/>
      <c r="F62" s="25"/>
      <c r="G62" s="25">
        <f>G61</f>
        <v>38957.090326361948</v>
      </c>
      <c r="H62" s="25">
        <f>G62*1.037/1.002</f>
        <v>40317.866934568199</v>
      </c>
      <c r="I62" s="25">
        <f t="shared" ref="I62:N62" si="14">H62*1.037/1.002</f>
        <v>41726.175659827568</v>
      </c>
      <c r="J62" s="25">
        <f t="shared" si="14"/>
        <v>43183.676805629926</v>
      </c>
      <c r="K62" s="25">
        <f t="shared" si="14"/>
        <v>44692.088670098034</v>
      </c>
      <c r="L62" s="25">
        <f t="shared" si="14"/>
        <v>46253.18957174816</v>
      </c>
      <c r="M62" s="25">
        <f t="shared" si="14"/>
        <v>47868.819946010815</v>
      </c>
      <c r="N62" s="25">
        <f t="shared" si="14"/>
        <v>49540.884514983249</v>
      </c>
      <c r="P62" s="20"/>
    </row>
    <row r="63" spans="1:16" ht="30" x14ac:dyDescent="0.25">
      <c r="A63" s="19" t="s">
        <v>227</v>
      </c>
      <c r="B63" s="25">
        <f>+'Strategic level'!H9</f>
        <v>33305.67890690561</v>
      </c>
      <c r="C63" s="25">
        <f>+'Strategic level'!I9</f>
        <v>34460.257331902452</v>
      </c>
      <c r="D63" s="25">
        <f>+'Strategic level'!J9</f>
        <v>35438.038325211601</v>
      </c>
      <c r="E63" s="25">
        <f>+'Strategic level'!K9</f>
        <v>36635.555579422886</v>
      </c>
      <c r="F63" s="25">
        <f>+'Strategic level'!L9</f>
        <v>39319.312858880679</v>
      </c>
      <c r="G63" s="25">
        <f>+'Strategic level'!M9</f>
        <v>40985.272478949337</v>
      </c>
      <c r="H63" s="25">
        <f>+'Strategic level'!O9</f>
        <v>42721.818822281966</v>
      </c>
      <c r="I63" s="25">
        <f>+'Strategic level'!P9</f>
        <v>44531.942648943288</v>
      </c>
      <c r="J63" s="25">
        <f>+'Strategic level'!Q9</f>
        <v>46418.761437527399</v>
      </c>
      <c r="K63" s="25">
        <f>+'Strategic level'!R9</f>
        <v>48385.524754222912</v>
      </c>
      <c r="L63" s="25">
        <f>+'Strategic level'!S9</f>
        <v>50435.619849365488</v>
      </c>
      <c r="M63" s="25">
        <f>+'Strategic level'!T9</f>
        <v>52572.577491116303</v>
      </c>
      <c r="N63" s="25">
        <f>+'Strategic level'!U9</f>
        <v>54800.078046313531</v>
      </c>
    </row>
    <row r="64" spans="1:16" x14ac:dyDescent="0.25">
      <c r="A64" s="16" t="s">
        <v>216</v>
      </c>
      <c r="B64" s="21">
        <f>+'Strategic level'!H13</f>
        <v>0.23499999999999999</v>
      </c>
      <c r="C64" s="21">
        <f>+'Strategic level'!I13</f>
        <v>0.26400000000000001</v>
      </c>
      <c r="D64" s="21">
        <f>+'Strategic level'!J13</f>
        <v>0.27</v>
      </c>
      <c r="E64" s="21">
        <f>+'Strategic level'!K13</f>
        <v>0.26500000000000001</v>
      </c>
      <c r="F64" s="21">
        <f>+'Strategic level'!L13</f>
        <v>0.248</v>
      </c>
      <c r="G64" s="21">
        <f>+'Strategic level'!M13</f>
        <v>0.23962429992669079</v>
      </c>
      <c r="H64" s="21">
        <f>+'Strategic level'!O13</f>
        <v>0.2315314722393414</v>
      </c>
      <c r="I64" s="21">
        <f>+'Strategic level'!P13</f>
        <v>0.22371196349333963</v>
      </c>
      <c r="J64" s="21">
        <f>+'Strategic level'!Q13</f>
        <v>0.21615654289240693</v>
      </c>
      <c r="K64" s="21">
        <f>+'Strategic level'!R13</f>
        <v>0.20885629139180131</v>
      </c>
      <c r="L64" s="21">
        <f>+'Strategic level'!S13</f>
        <v>0.20180259116953761</v>
      </c>
      <c r="M64" s="21">
        <f>+'Strategic level'!T13</f>
        <v>0.19498711545319614</v>
      </c>
      <c r="N64" s="21">
        <f>+'Strategic level'!U13</f>
        <v>0.18840181869031031</v>
      </c>
      <c r="P64" s="20">
        <f>+(N64-G64)/G64</f>
        <v>-0.21376163123711234</v>
      </c>
    </row>
    <row r="65" spans="1:21" x14ac:dyDescent="0.25">
      <c r="A65" s="16" t="s">
        <v>962</v>
      </c>
      <c r="B65" s="21"/>
      <c r="C65" s="21"/>
      <c r="D65" s="21"/>
      <c r="E65" s="21"/>
      <c r="F65" s="21"/>
      <c r="G65" s="21">
        <f>G64</f>
        <v>0.23962429992669079</v>
      </c>
      <c r="H65" s="21">
        <f>G65*(1+_xlfn.RRI(4,$B$64,$F$64))</f>
        <v>0.24287164352278154</v>
      </c>
      <c r="I65" s="21">
        <f t="shared" ref="I65:N65" si="15">H65*(1+_xlfn.RRI(4,$B$64,$F$64))</f>
        <v>0.24616299451058632</v>
      </c>
      <c r="J65" s="21">
        <f t="shared" si="15"/>
        <v>0.24949894927002864</v>
      </c>
      <c r="K65" s="21">
        <f t="shared" si="15"/>
        <v>0.25288011226306095</v>
      </c>
      <c r="L65" s="21">
        <f t="shared" si="15"/>
        <v>0.25630709614319075</v>
      </c>
      <c r="M65" s="21">
        <f t="shared" si="15"/>
        <v>0.25978052186649109</v>
      </c>
      <c r="N65" s="21">
        <f t="shared" si="15"/>
        <v>0.26330101880411533</v>
      </c>
      <c r="P65" s="20"/>
    </row>
    <row r="66" spans="1:21" x14ac:dyDescent="0.25">
      <c r="A66" s="16" t="s">
        <v>117</v>
      </c>
      <c r="B66" s="20">
        <f>+'StG 1'!P4</f>
        <v>0.48665304658244435</v>
      </c>
      <c r="C66" s="20">
        <f>+'StG 1'!Q4</f>
        <v>0.48575945624457662</v>
      </c>
      <c r="D66" s="20">
        <f>+'StG 1'!R4</f>
        <v>0.47846762306045104</v>
      </c>
      <c r="E66" s="20">
        <f>+'StG 1'!S4</f>
        <v>0.50220601229669437</v>
      </c>
      <c r="F66" s="20">
        <f>+'StG 1'!T4</f>
        <v>0.51248216567532467</v>
      </c>
      <c r="G66" s="20">
        <f>+'StG 1'!U4</f>
        <v>0.50190490237200069</v>
      </c>
      <c r="H66" s="20">
        <f>+'StG 1'!W4</f>
        <v>0.51189828988411601</v>
      </c>
      <c r="I66" s="20">
        <f>+'StG 1'!X4</f>
        <v>0.52243623758290003</v>
      </c>
      <c r="J66" s="20">
        <f>+'StG 1'!Y4</f>
        <v>0.53864374911328228</v>
      </c>
      <c r="K66" s="20">
        <f>+'StG 1'!Z4</f>
        <v>0.55519468473346978</v>
      </c>
      <c r="L66" s="20">
        <f>+'StG 1'!AA4</f>
        <v>0.57178827219034178</v>
      </c>
      <c r="M66" s="20">
        <f>+'StG 1'!AB4</f>
        <v>0.58903944812385856</v>
      </c>
      <c r="N66" s="20">
        <f>+'StG 1'!AC4</f>
        <v>0.60733289400916979</v>
      </c>
      <c r="P66" s="20">
        <f>+(N66-G66)/G66</f>
        <v>0.21005571202615636</v>
      </c>
      <c r="R66">
        <f>'Strategic level'!U19-'Strategic level'!M19</f>
        <v>147.12397022786331</v>
      </c>
      <c r="S66" s="21">
        <f>R66/'Strategic level'!M19</f>
        <v>0.23569034664684721</v>
      </c>
      <c r="T66" s="491" t="s">
        <v>936</v>
      </c>
      <c r="U66" s="491"/>
    </row>
    <row r="67" spans="1:21" x14ac:dyDescent="0.25">
      <c r="A67" s="16" t="s">
        <v>803</v>
      </c>
      <c r="B67" s="26">
        <f>+'StG 1'!P7</f>
        <v>173391</v>
      </c>
      <c r="C67" s="26">
        <f>+'StG 1'!Q7</f>
        <v>183465.37803489558</v>
      </c>
      <c r="D67" s="26">
        <f>+'StG 1'!R7</f>
        <v>190673.80763772962</v>
      </c>
      <c r="E67" s="26">
        <f>+'StG 1'!S7</f>
        <v>205111.38147474569</v>
      </c>
      <c r="F67" s="26">
        <f>+'StG 1'!T7</f>
        <v>236862.44524498453</v>
      </c>
      <c r="G67" s="26">
        <f>+'StG 1'!U7</f>
        <v>259980.00493594623</v>
      </c>
      <c r="H67" s="26">
        <f>+'StG 1'!W7</f>
        <v>291177.60552825982</v>
      </c>
      <c r="I67" s="26">
        <f>+'StG 1'!X7</f>
        <v>326118.91819165106</v>
      </c>
      <c r="J67" s="26">
        <f>+'StG 1'!Y7</f>
        <v>365253.18837464921</v>
      </c>
      <c r="K67" s="26">
        <f>+'StG 1'!Z7</f>
        <v>409083.57097960718</v>
      </c>
      <c r="L67" s="26">
        <f>+'StG 1'!AA7</f>
        <v>458173.59949716006</v>
      </c>
      <c r="M67" s="26">
        <f>+'StG 1'!AB7</f>
        <v>513154.43143681932</v>
      </c>
      <c r="N67" s="26">
        <f>+'StG 1'!AC7</f>
        <v>574732.96320923767</v>
      </c>
      <c r="O67" s="26"/>
      <c r="P67" s="27">
        <f>N67/G67</f>
        <v>2.2106814074060819</v>
      </c>
    </row>
    <row r="68" spans="1:21" x14ac:dyDescent="0.25">
      <c r="A68" s="16" t="s">
        <v>963</v>
      </c>
      <c r="B68" s="26"/>
      <c r="C68" s="26"/>
      <c r="D68" s="26"/>
      <c r="E68" s="26"/>
      <c r="F68" s="26"/>
      <c r="G68" s="26">
        <f>G67</f>
        <v>259980.00493594623</v>
      </c>
      <c r="H68" s="26">
        <f>G68*1.04</f>
        <v>270379.20513338409</v>
      </c>
      <c r="I68" s="26">
        <f t="shared" ref="I68:N68" si="16">H68*1.04</f>
        <v>281194.37333871948</v>
      </c>
      <c r="J68" s="26">
        <f t="shared" si="16"/>
        <v>292442.14827226824</v>
      </c>
      <c r="K68" s="26">
        <f t="shared" si="16"/>
        <v>304139.83420315897</v>
      </c>
      <c r="L68" s="26">
        <f t="shared" si="16"/>
        <v>316305.42757128534</v>
      </c>
      <c r="M68" s="26">
        <f t="shared" si="16"/>
        <v>328957.64467413677</v>
      </c>
      <c r="N68" s="26">
        <f t="shared" si="16"/>
        <v>342115.95046110224</v>
      </c>
      <c r="O68" s="26"/>
      <c r="P68" s="27"/>
    </row>
    <row r="69" spans="1:21" x14ac:dyDescent="0.25">
      <c r="A69" s="16" t="s">
        <v>218</v>
      </c>
      <c r="B69" s="20">
        <f>+'StG 2'!P4</f>
        <v>0.40985442329227323</v>
      </c>
      <c r="C69" s="20">
        <f>+'StG 2'!Q4</f>
        <v>0.39922574401161376</v>
      </c>
      <c r="D69" s="20">
        <f>+'StG 2'!R4</f>
        <v>0.40716180371352784</v>
      </c>
      <c r="E69" s="20">
        <f>+'StG 2'!S4</f>
        <v>0.38699274388605215</v>
      </c>
      <c r="F69" s="20">
        <f>+'StG 2'!T4</f>
        <v>0.35162488011250304</v>
      </c>
      <c r="G69" s="20">
        <f>+'StG 2'!U4</f>
        <v>0.32944684798771345</v>
      </c>
      <c r="H69" s="20">
        <f>+'StG 2'!W4</f>
        <v>0.31183595768850214</v>
      </c>
      <c r="I69" s="20">
        <f>+'StG 2'!X4</f>
        <v>0.29548155454886471</v>
      </c>
      <c r="J69" s="20">
        <f>+'StG 2'!Y4</f>
        <v>0.27684384198479534</v>
      </c>
      <c r="K69" s="20">
        <f>+'StG 2'!Z4</f>
        <v>0.25689927020776776</v>
      </c>
      <c r="L69" s="20">
        <f>+'StG 2'!AA4</f>
        <v>0.23648230200625212</v>
      </c>
      <c r="M69" s="20">
        <f>+'StG 2'!AB4</f>
        <v>0.21476704812076286</v>
      </c>
      <c r="N69" s="20">
        <f>+'StG 2'!AC4</f>
        <v>0.19649825954394742</v>
      </c>
      <c r="P69" s="20">
        <f>+(N69-G69)/G69</f>
        <v>-0.40355094989017554</v>
      </c>
      <c r="R69" s="54">
        <f>-('Strategic level'!U45+'Strategic level'!U46-'Strategic level'!M45-'Strategic level'!M46)</f>
        <v>38.91078677983387</v>
      </c>
      <c r="S69" s="21">
        <f>R69/('Strategic level'!M45+'Strategic level'!M46)</f>
        <v>0.34599499492520303</v>
      </c>
      <c r="T69" s="491" t="s">
        <v>936</v>
      </c>
      <c r="U69" s="491"/>
    </row>
    <row r="70" spans="1:21" x14ac:dyDescent="0.25">
      <c r="A70" s="16" t="s">
        <v>220</v>
      </c>
      <c r="B70" s="20">
        <f>+'StG 3'!P4</f>
        <v>0.38118769702649735</v>
      </c>
      <c r="C70" s="20">
        <f>+'StG 3'!Q4</f>
        <v>0.40064565457480256</v>
      </c>
      <c r="D70" s="20">
        <f>+'StG 3'!R4</f>
        <v>0.40860215053763438</v>
      </c>
      <c r="E70" s="20">
        <f>+'StG 3'!S4</f>
        <v>0.40501762728539803</v>
      </c>
      <c r="F70" s="20">
        <f>+'StG 3'!T4</f>
        <v>0.41537228137288995</v>
      </c>
      <c r="G70" s="20">
        <f>+'StG 3'!U4</f>
        <v>0.42105203100600463</v>
      </c>
      <c r="H70" s="20">
        <f>+'StG 3'!W4</f>
        <v>0.42976141973919935</v>
      </c>
      <c r="I70" s="20">
        <f>+'StG 3'!X4</f>
        <v>0.43940525149457732</v>
      </c>
      <c r="J70" s="20">
        <f>+'StG 3'!Y4</f>
        <v>0.45221187309628758</v>
      </c>
      <c r="K70" s="20">
        <f>+'StG 3'!Z4</f>
        <v>0.46557056895249405</v>
      </c>
      <c r="L70" s="20">
        <f>+'StG 3'!AA4</f>
        <v>0.47902988930973284</v>
      </c>
      <c r="M70" s="20">
        <f>+'StG 3'!AB4</f>
        <v>0.49330254804479645</v>
      </c>
      <c r="N70" s="20">
        <f>+'StG 3'!AC4</f>
        <v>0.50867759504298704</v>
      </c>
      <c r="P70" s="20">
        <f>+(N70-G70)/G70</f>
        <v>0.20811101142920926</v>
      </c>
      <c r="R70" s="54">
        <f>'Strategic level'!U54-'Strategic level'!M54</f>
        <v>110.46015426911077</v>
      </c>
      <c r="S70" s="21">
        <f>R70/'Strategic level'!M54</f>
        <v>0.21796232431143747</v>
      </c>
      <c r="T70" s="491" t="s">
        <v>936</v>
      </c>
      <c r="U70" s="491"/>
    </row>
    <row r="71" spans="1:21" x14ac:dyDescent="0.25">
      <c r="A71" s="16" t="s">
        <v>804</v>
      </c>
      <c r="B71" s="29">
        <f>+[1]Sheet1!C6</f>
        <v>0.51656557272689274</v>
      </c>
      <c r="C71" s="29">
        <f>+[1]Sheet1!D6</f>
        <v>0.53068349147220306</v>
      </c>
      <c r="D71" s="29">
        <f>+[1]Sheet1!E6</f>
        <v>0.55650605549249621</v>
      </c>
      <c r="E71" s="29">
        <f>+[1]Sheet1!F6</f>
        <v>0.58011873458212482</v>
      </c>
      <c r="F71" s="29">
        <f>+[1]Sheet1!G6</f>
        <v>0.61928737247615639</v>
      </c>
      <c r="G71" s="29">
        <f>+[1]Sheet1!H6</f>
        <v>0.62748043668089215</v>
      </c>
      <c r="H71" s="29">
        <f>+[1]Sheet1!I6</f>
        <v>0.63829348474119196</v>
      </c>
      <c r="I71" s="29">
        <f>+[1]Sheet1!J6</f>
        <v>0.65032331938974575</v>
      </c>
      <c r="J71" s="29">
        <f>+[1]Sheet1!K6</f>
        <v>0.66679930826637379</v>
      </c>
      <c r="K71" s="29">
        <f>+[1]Sheet1!L6</f>
        <v>0.68358924455980929</v>
      </c>
      <c r="L71" s="29">
        <f>+[1]Sheet1!M6</f>
        <v>0.70067017079262373</v>
      </c>
      <c r="M71" s="29">
        <f>+[1]Sheet1!N6</f>
        <v>0.71848276318030979</v>
      </c>
      <c r="N71" s="29">
        <f>+[1]Sheet1!O6</f>
        <v>0.73756031138601197</v>
      </c>
    </row>
    <row r="72" spans="1:21" ht="30" x14ac:dyDescent="0.25">
      <c r="A72" s="19" t="s">
        <v>805</v>
      </c>
    </row>
    <row r="73" spans="1:21" x14ac:dyDescent="0.25">
      <c r="A73" s="16" t="s">
        <v>332</v>
      </c>
      <c r="B73" s="20">
        <f>+'StG 3'!P6</f>
        <v>0.14444444444444446</v>
      </c>
      <c r="C73" s="20">
        <f>+'StG 3'!Q6</f>
        <v>0.14556962025316453</v>
      </c>
      <c r="D73" s="20">
        <f>+'StG 3'!R6</f>
        <v>0.24087591240875914</v>
      </c>
      <c r="E73" s="20">
        <f>+'StG 3'!S6</f>
        <v>0.21088435374149661</v>
      </c>
      <c r="F73" s="20">
        <f>+'StG 3'!T6</f>
        <v>0.23923544843145952</v>
      </c>
      <c r="G73" s="20">
        <f>+'StG 3'!U6</f>
        <v>0.26093999696551101</v>
      </c>
      <c r="H73" s="20">
        <f>+'StG 3'!W6</f>
        <v>0.28522178539924603</v>
      </c>
      <c r="I73" s="20">
        <f>+'StG 3'!X6</f>
        <v>0.30899026751584979</v>
      </c>
      <c r="J73" s="20">
        <f>+'StG 3'!Y6</f>
        <v>0.3318784354799868</v>
      </c>
      <c r="K73" s="20">
        <f>+'StG 3'!Z6</f>
        <v>0.35338907481665255</v>
      </c>
      <c r="L73" s="20">
        <f>+'StG 3'!AA6</f>
        <v>0.3730218011953555</v>
      </c>
      <c r="M73" s="20">
        <f>+'StG 3'!AB6</f>
        <v>0.38683742346185013</v>
      </c>
      <c r="N73" s="20">
        <f>+'StG 3'!AC6</f>
        <v>0.39400107945188434</v>
      </c>
      <c r="P73" s="20">
        <f>+(N73-G73)/G73</f>
        <v>0.5099298077479486</v>
      </c>
      <c r="R73" s="54">
        <f>'Strategic level'!U63-'Strategic level'!M63</f>
        <v>7.746223008931147</v>
      </c>
      <c r="S73" s="21">
        <f>R73/'Strategic level'!M63</f>
        <v>1.5877543486720307</v>
      </c>
      <c r="T73" s="491" t="s">
        <v>936</v>
      </c>
      <c r="U73" s="491"/>
    </row>
    <row r="74" spans="1:21" ht="45" x14ac:dyDescent="0.25">
      <c r="A74" s="30" t="s">
        <v>951</v>
      </c>
      <c r="B74" s="20">
        <f>+'StG 3'!P7</f>
        <v>0.54574120925457414</v>
      </c>
      <c r="C74" s="20">
        <f>+'StG 3'!Q7</f>
        <v>0.53245912478133306</v>
      </c>
      <c r="D74" s="20">
        <f>+'StG 3'!R7</f>
        <v>0.5403244048807101</v>
      </c>
      <c r="E74" s="20">
        <f>+'StG 3'!S7</f>
        <v>0.54989747306732095</v>
      </c>
      <c r="F74" s="20">
        <f>+'StG 3'!T7</f>
        <v>0.64428903392223802</v>
      </c>
      <c r="G74" s="20">
        <f>+'StG 3'!U7</f>
        <v>0.61348348171042932</v>
      </c>
      <c r="H74" s="20">
        <f>+'StG 3'!W7</f>
        <v>0.5781748743226538</v>
      </c>
      <c r="I74" s="20">
        <f>+'StG 3'!X7</f>
        <v>0.54456457771335631</v>
      </c>
      <c r="J74" s="20">
        <f>+'StG 3'!Y7</f>
        <v>0.5229610462847174</v>
      </c>
      <c r="K74" s="20">
        <f>+'StG 3'!Z7</f>
        <v>0.50287825909216166</v>
      </c>
      <c r="L74" s="20">
        <f>+'StG 3'!AA7</f>
        <v>0.48426476098559301</v>
      </c>
      <c r="M74" s="20">
        <f>+'StG 3'!AB7</f>
        <v>0.46826669415094146</v>
      </c>
      <c r="N74" s="20">
        <f>+'StG 3'!AC7</f>
        <v>0.45480794389057833</v>
      </c>
      <c r="P74" s="20">
        <f>+(N74-G74)/G74</f>
        <v>-0.25864679742876523</v>
      </c>
    </row>
    <row r="75" spans="1:21" ht="30" x14ac:dyDescent="0.25">
      <c r="A75" s="19" t="s">
        <v>222</v>
      </c>
      <c r="B75" s="20">
        <f>+'StG 4'!P5</f>
        <v>9.6871514585710625E-2</v>
      </c>
      <c r="C75" s="20">
        <f>+'StG 4'!Q5</f>
        <v>7.1175406390166326E-2</v>
      </c>
      <c r="D75" s="20">
        <f>+'StG 4'!R5</f>
        <v>7.4053785492370253E-2</v>
      </c>
      <c r="E75" s="20">
        <f>+'StG 4'!S5</f>
        <v>7.0566327562319398E-2</v>
      </c>
      <c r="F75" s="20">
        <f>+'StG 4'!T5</f>
        <v>5.736406679135285E-2</v>
      </c>
      <c r="G75" s="20">
        <f>+'StG 4'!U5</f>
        <v>6.88034080024678E-2</v>
      </c>
      <c r="H75" s="20">
        <f>+'StG 4'!W5</f>
        <v>3.7873818025173686E-2</v>
      </c>
      <c r="I75" s="20">
        <f>+'StG 4'!X5</f>
        <v>3.2899936487754917E-2</v>
      </c>
      <c r="J75" s="20">
        <f>+'StG 4'!Y5</f>
        <v>2.8440529100961703E-2</v>
      </c>
      <c r="K75" s="20">
        <f>+'StG 4'!Z5</f>
        <v>1.4362538191441268E-2</v>
      </c>
      <c r="L75" s="20">
        <f>+'StG 4'!AA5</f>
        <v>1.2415774284226706E-2</v>
      </c>
      <c r="M75" s="20">
        <f>+'StG 4'!AB5</f>
        <v>1.0732883632554934E-2</v>
      </c>
      <c r="N75" s="20">
        <f>+'StG 4'!AC5</f>
        <v>9.2780996523359645E-3</v>
      </c>
      <c r="P75" s="20">
        <f>+(N75-G75)/G75</f>
        <v>-0.86515058015726232</v>
      </c>
    </row>
    <row r="76" spans="1:21" x14ac:dyDescent="0.25">
      <c r="A76" s="16" t="s">
        <v>807</v>
      </c>
      <c r="B76" s="32">
        <f t="shared" ref="B76:N76" si="17">+B77/B78</f>
        <v>7.3692301151902838E-5</v>
      </c>
      <c r="C76" s="32">
        <f t="shared" si="17"/>
        <v>2.6333879834551313E-4</v>
      </c>
      <c r="D76" s="32">
        <f t="shared" si="17"/>
        <v>3.141079114311564E-4</v>
      </c>
      <c r="E76" s="32">
        <f t="shared" si="17"/>
        <v>2.4342604680600694E-4</v>
      </c>
      <c r="F76" s="32">
        <f t="shared" si="17"/>
        <v>1.0288847101174852E-4</v>
      </c>
      <c r="G76" s="32">
        <f t="shared" si="17"/>
        <v>1.1186746383588712E-4</v>
      </c>
      <c r="H76" s="32">
        <f t="shared" si="17"/>
        <v>2.0523093259272971E-5</v>
      </c>
      <c r="I76" s="32">
        <f t="shared" si="17"/>
        <v>1.9070062385911468E-3</v>
      </c>
      <c r="J76" s="32">
        <f t="shared" si="17"/>
        <v>2.2584933376389405E-3</v>
      </c>
      <c r="K76" s="32">
        <f t="shared" si="17"/>
        <v>2.3540031544740029E-3</v>
      </c>
      <c r="L76" s="32">
        <f t="shared" si="17"/>
        <v>2.5906178584000896E-3</v>
      </c>
      <c r="M76" s="32">
        <f t="shared" si="17"/>
        <v>3.0797314857486657E-3</v>
      </c>
      <c r="N76" s="32">
        <f t="shared" si="17"/>
        <v>3.449038005084388E-3</v>
      </c>
    </row>
    <row r="77" spans="1:21" x14ac:dyDescent="0.25">
      <c r="A77" s="18" t="s">
        <v>808</v>
      </c>
      <c r="B77" s="31">
        <v>443409170</v>
      </c>
      <c r="C77" s="31">
        <v>1723110500</v>
      </c>
      <c r="D77" s="31">
        <v>1941784640</v>
      </c>
      <c r="E77" s="31">
        <v>1701980830</v>
      </c>
      <c r="F77" s="31">
        <v>874699700</v>
      </c>
      <c r="G77" s="31">
        <v>1036627090.9008211</v>
      </c>
      <c r="H77" s="31">
        <f t="shared" ref="H77:N77" si="18">+B15*1000</f>
        <v>213000000</v>
      </c>
      <c r="I77" s="31">
        <f t="shared" si="18"/>
        <v>22167000000</v>
      </c>
      <c r="J77" s="31">
        <f t="shared" si="18"/>
        <v>29403000000</v>
      </c>
      <c r="K77" s="31">
        <f t="shared" si="18"/>
        <v>34324000000</v>
      </c>
      <c r="L77" s="31">
        <f t="shared" si="18"/>
        <v>42307000000</v>
      </c>
      <c r="M77" s="31">
        <f t="shared" si="18"/>
        <v>56330000000</v>
      </c>
      <c r="N77" s="31">
        <f t="shared" si="18"/>
        <v>70655000000</v>
      </c>
    </row>
    <row r="78" spans="1:21" x14ac:dyDescent="0.25">
      <c r="A78" s="18" t="s">
        <v>806</v>
      </c>
      <c r="B78" s="28">
        <v>6017035200000.001</v>
      </c>
      <c r="C78" s="28">
        <v>6543321800000</v>
      </c>
      <c r="D78" s="28">
        <v>6181903000000</v>
      </c>
      <c r="E78" s="28">
        <v>6991777799999.999</v>
      </c>
      <c r="F78" s="28">
        <v>8501435500000.002</v>
      </c>
      <c r="G78" s="28">
        <f>+F78+F78*9%</f>
        <v>9266564695000.002</v>
      </c>
      <c r="H78" s="31">
        <f>+G78+G78*12%</f>
        <v>10378552458400.002</v>
      </c>
      <c r="I78" s="31">
        <f t="shared" ref="I78:N78" si="19">+H78+H78*12%</f>
        <v>11623978753408.002</v>
      </c>
      <c r="J78" s="31">
        <f t="shared" si="19"/>
        <v>13018856203816.963</v>
      </c>
      <c r="K78" s="31">
        <f t="shared" si="19"/>
        <v>14581118948274.998</v>
      </c>
      <c r="L78" s="31">
        <f t="shared" si="19"/>
        <v>16330853222067.998</v>
      </c>
      <c r="M78" s="31">
        <f t="shared" si="19"/>
        <v>18290555608716.156</v>
      </c>
      <c r="N78" s="31">
        <f t="shared" si="19"/>
        <v>20485422281762.094</v>
      </c>
    </row>
    <row r="81" spans="1:10" ht="18.75" x14ac:dyDescent="0.3">
      <c r="A81" s="33" t="s">
        <v>809</v>
      </c>
      <c r="B81" s="33">
        <v>2022</v>
      </c>
      <c r="C81" s="33">
        <v>2023</v>
      </c>
      <c r="D81" s="33">
        <v>2024</v>
      </c>
      <c r="E81" s="33">
        <v>2025</v>
      </c>
      <c r="F81" s="33">
        <v>2026</v>
      </c>
      <c r="G81" s="33">
        <v>2027</v>
      </c>
      <c r="H81" s="33">
        <v>2028</v>
      </c>
      <c r="I81" s="33">
        <v>2029</v>
      </c>
      <c r="J81" s="33">
        <v>2030</v>
      </c>
    </row>
    <row r="82" spans="1:10" x14ac:dyDescent="0.25">
      <c r="A82" t="s">
        <v>736</v>
      </c>
      <c r="B82" s="26">
        <v>579778959900</v>
      </c>
      <c r="C82" s="26">
        <v>653778050400</v>
      </c>
      <c r="D82" s="34">
        <v>795324586100</v>
      </c>
      <c r="E82" s="35">
        <f>+E$87*$D89</f>
        <v>890763536432</v>
      </c>
      <c r="F82" s="35">
        <f t="shared" ref="F82:J82" si="20">+F$87*$D89</f>
        <v>997655160803.84009</v>
      </c>
      <c r="G82" s="35">
        <f t="shared" si="20"/>
        <v>1117373780100.301</v>
      </c>
      <c r="H82" s="35">
        <f t="shared" si="20"/>
        <v>1251458633712.3369</v>
      </c>
      <c r="I82" s="35">
        <f t="shared" si="20"/>
        <v>1401633669757.8174</v>
      </c>
      <c r="J82" s="35">
        <f t="shared" si="20"/>
        <v>1569829710128.7554</v>
      </c>
    </row>
    <row r="83" spans="1:10" x14ac:dyDescent="0.25">
      <c r="A83" t="s">
        <v>740</v>
      </c>
      <c r="B83" s="26">
        <v>42209755800</v>
      </c>
      <c r="C83" s="26">
        <v>64784780700</v>
      </c>
      <c r="D83" s="34">
        <v>90862030500</v>
      </c>
      <c r="E83" s="35">
        <f t="shared" ref="E83:J86" si="21">+E$87*$D90</f>
        <v>101765474160</v>
      </c>
      <c r="F83" s="35">
        <f t="shared" si="21"/>
        <v>113977331059.20001</v>
      </c>
      <c r="G83" s="35">
        <f t="shared" si="21"/>
        <v>127654610786.30402</v>
      </c>
      <c r="H83" s="35">
        <f t="shared" si="21"/>
        <v>142973164080.66049</v>
      </c>
      <c r="I83" s="35">
        <f t="shared" si="21"/>
        <v>160129943770.33975</v>
      </c>
      <c r="J83" s="35">
        <f t="shared" si="21"/>
        <v>179345537022.78052</v>
      </c>
    </row>
    <row r="84" spans="1:10" x14ac:dyDescent="0.25">
      <c r="A84" t="s">
        <v>738</v>
      </c>
      <c r="B84" s="26">
        <v>226801189000</v>
      </c>
      <c r="C84" s="26">
        <v>250268554500</v>
      </c>
      <c r="D84" s="34">
        <v>346476012000</v>
      </c>
      <c r="E84" s="35">
        <f t="shared" si="21"/>
        <v>388053133440</v>
      </c>
      <c r="F84" s="35">
        <f t="shared" si="21"/>
        <v>434619509452.80005</v>
      </c>
      <c r="G84" s="35">
        <f t="shared" si="21"/>
        <v>486773850587.13605</v>
      </c>
      <c r="H84" s="35">
        <f t="shared" si="21"/>
        <v>545186712657.59235</v>
      </c>
      <c r="I84" s="35">
        <f t="shared" si="21"/>
        <v>610609118176.50342</v>
      </c>
      <c r="J84" s="35">
        <f t="shared" si="21"/>
        <v>683882212357.68384</v>
      </c>
    </row>
    <row r="85" spans="1:10" x14ac:dyDescent="0.25">
      <c r="A85" t="s">
        <v>739</v>
      </c>
      <c r="B85" s="26">
        <v>274197372959.99997</v>
      </c>
      <c r="C85" s="26">
        <v>297446912600</v>
      </c>
      <c r="D85" s="34">
        <v>307244370800</v>
      </c>
      <c r="E85" s="35">
        <f>+E$87*$D92</f>
        <v>344113695296</v>
      </c>
      <c r="F85" s="35">
        <f>+F$87*$D92</f>
        <v>385407338731.52002</v>
      </c>
      <c r="G85" s="35">
        <f t="shared" si="21"/>
        <v>431656219379.30243</v>
      </c>
      <c r="H85" s="35">
        <f t="shared" si="21"/>
        <v>483454965704.81873</v>
      </c>
      <c r="I85" s="35">
        <f t="shared" si="21"/>
        <v>541469561589.39691</v>
      </c>
      <c r="J85" s="35">
        <f t="shared" si="21"/>
        <v>606445908980.12463</v>
      </c>
    </row>
    <row r="86" spans="1:10" x14ac:dyDescent="0.25">
      <c r="A86" t="s">
        <v>741</v>
      </c>
      <c r="B86" s="26">
        <v>217945445300</v>
      </c>
      <c r="C86" s="26">
        <v>277303467400</v>
      </c>
      <c r="D86" s="34">
        <v>331319300400</v>
      </c>
      <c r="E86" s="35">
        <f>+E$87*$D93</f>
        <v>371077616448</v>
      </c>
      <c r="F86" s="35">
        <f t="shared" si="21"/>
        <v>415606930421.76007</v>
      </c>
      <c r="G86" s="35">
        <f t="shared" si="21"/>
        <v>465479762072.37128</v>
      </c>
      <c r="H86" s="35">
        <f t="shared" si="21"/>
        <v>521337333521.05579</v>
      </c>
      <c r="I86" s="35">
        <f t="shared" si="21"/>
        <v>583897813543.58252</v>
      </c>
      <c r="J86" s="35">
        <f t="shared" si="21"/>
        <v>653965551168.81238</v>
      </c>
    </row>
    <row r="87" spans="1:10" x14ac:dyDescent="0.25">
      <c r="A87" t="s">
        <v>810</v>
      </c>
      <c r="B87" s="35">
        <v>2184040185060</v>
      </c>
      <c r="C87" s="26">
        <v>2590973151100</v>
      </c>
      <c r="D87" s="34">
        <v>3206517499600</v>
      </c>
      <c r="E87" s="35">
        <f>+D87*12%+D87</f>
        <v>3591299599552</v>
      </c>
      <c r="F87" s="35">
        <f t="shared" ref="F87:I87" si="22">+E87*12%+E87</f>
        <v>4022255551498.2402</v>
      </c>
      <c r="G87" s="35">
        <f t="shared" si="22"/>
        <v>4504926217678.0293</v>
      </c>
      <c r="H87" s="35">
        <f t="shared" si="22"/>
        <v>5045517363799.3926</v>
      </c>
      <c r="I87" s="35">
        <f t="shared" si="22"/>
        <v>5650979447455.3193</v>
      </c>
      <c r="J87" s="35">
        <f>+I87*12%+I87</f>
        <v>6329096981149.958</v>
      </c>
    </row>
    <row r="89" spans="1:10" x14ac:dyDescent="0.25">
      <c r="A89" t="s">
        <v>736</v>
      </c>
      <c r="B89" s="20">
        <f>+B82/B$87</f>
        <v>0.26546167230163503</v>
      </c>
      <c r="C89" s="20">
        <f t="shared" ref="C89:D89" si="23">+C82/C$87</f>
        <v>0.25232914903901571</v>
      </c>
      <c r="D89" s="20">
        <f t="shared" si="23"/>
        <v>0.24803375818133333</v>
      </c>
      <c r="E89" s="20"/>
      <c r="F89" s="20"/>
      <c r="G89" s="20"/>
      <c r="H89" s="20"/>
      <c r="I89" s="20"/>
      <c r="J89" s="20"/>
    </row>
    <row r="90" spans="1:10" x14ac:dyDescent="0.25">
      <c r="A90" t="s">
        <v>740</v>
      </c>
      <c r="B90" s="20">
        <f>+B83/B$87</f>
        <v>1.9326455661730607E-2</v>
      </c>
      <c r="C90" s="20">
        <f t="shared" ref="B90:D93" si="24">+C83/C$87</f>
        <v>2.5004033975610886E-2</v>
      </c>
      <c r="D90" s="20">
        <f t="shared" si="24"/>
        <v>2.8336670706252086E-2</v>
      </c>
      <c r="E90" s="20"/>
      <c r="F90" s="20"/>
      <c r="G90" s="20"/>
      <c r="H90" s="20"/>
      <c r="I90" s="20"/>
      <c r="J90" s="20"/>
    </row>
    <row r="91" spans="1:10" x14ac:dyDescent="0.25">
      <c r="A91" t="s">
        <v>738</v>
      </c>
      <c r="B91" s="20">
        <f t="shared" si="24"/>
        <v>0.10384478754165841</v>
      </c>
      <c r="C91" s="20">
        <f t="shared" si="24"/>
        <v>9.6592492436190724E-2</v>
      </c>
      <c r="D91" s="20">
        <f t="shared" si="24"/>
        <v>0.10805367880986817</v>
      </c>
      <c r="E91" s="20"/>
      <c r="F91" s="20"/>
      <c r="G91" s="20"/>
      <c r="H91" s="20"/>
      <c r="I91" s="20"/>
      <c r="J91" s="20"/>
    </row>
    <row r="92" spans="1:10" x14ac:dyDescent="0.25">
      <c r="A92" t="s">
        <v>739</v>
      </c>
      <c r="B92" s="20">
        <f t="shared" si="24"/>
        <v>0.12554593767809599</v>
      </c>
      <c r="C92" s="20">
        <f t="shared" si="24"/>
        <v>0.11480123307094812</v>
      </c>
      <c r="D92" s="20">
        <f t="shared" si="24"/>
        <v>9.5818710123468057E-2</v>
      </c>
      <c r="E92" s="20"/>
      <c r="F92" s="20"/>
      <c r="G92" s="20"/>
      <c r="H92" s="20"/>
      <c r="I92" s="20"/>
      <c r="J92" s="20"/>
    </row>
    <row r="93" spans="1:10" x14ac:dyDescent="0.25">
      <c r="A93" t="s">
        <v>741</v>
      </c>
      <c r="B93" s="20">
        <f t="shared" si="24"/>
        <v>9.9790034446647594E-2</v>
      </c>
      <c r="C93" s="20">
        <f t="shared" si="24"/>
        <v>0.10702676223498131</v>
      </c>
      <c r="D93" s="20">
        <f t="shared" si="24"/>
        <v>0.10332683368836464</v>
      </c>
      <c r="E93" s="20"/>
      <c r="F93" s="20"/>
      <c r="G93" s="20"/>
      <c r="H93" s="20"/>
      <c r="I93" s="20"/>
      <c r="J93" s="20"/>
    </row>
    <row r="95" spans="1:10" x14ac:dyDescent="0.25">
      <c r="B95" t="s">
        <v>736</v>
      </c>
      <c r="C95" t="s">
        <v>740</v>
      </c>
      <c r="D95" t="s">
        <v>738</v>
      </c>
      <c r="E95" t="s">
        <v>739</v>
      </c>
      <c r="F95" t="s">
        <v>741</v>
      </c>
      <c r="G95" t="s">
        <v>810</v>
      </c>
    </row>
    <row r="96" spans="1:10" x14ac:dyDescent="0.25">
      <c r="A96">
        <v>2024</v>
      </c>
      <c r="B96" s="53">
        <f>+B15*1000/D82</f>
        <v>2.6781518353969063E-4</v>
      </c>
      <c r="C96" s="53">
        <f>+B16*1000/D83</f>
        <v>0</v>
      </c>
      <c r="D96" s="53">
        <f>+B17*1000/D84</f>
        <v>0</v>
      </c>
      <c r="E96" s="53">
        <f>+B18*1000/D85</f>
        <v>0</v>
      </c>
      <c r="F96" s="53">
        <f>+B19*1000/D86</f>
        <v>1.5091182415161226E-4</v>
      </c>
      <c r="G96" s="53">
        <f>+B14*1000/D87</f>
        <v>8.2020447427094402E-5</v>
      </c>
    </row>
    <row r="97" spans="1:18" x14ac:dyDescent="0.25">
      <c r="A97">
        <v>2025</v>
      </c>
      <c r="B97" s="53">
        <f>+C15*1000/E82</f>
        <v>2.4885392243143539E-2</v>
      </c>
      <c r="C97" s="53">
        <f>+C16*1000/E83</f>
        <v>0.1146852613456147</v>
      </c>
      <c r="D97" s="53">
        <f>+C17*1000/E84</f>
        <v>2.7444695280747378E-3</v>
      </c>
      <c r="E97" s="53">
        <f>+C18*1000/E85</f>
        <v>6.0445138581619777E-4</v>
      </c>
      <c r="F97" s="53">
        <f>+C19*1000/E86</f>
        <v>9.9709598100172393E-5</v>
      </c>
      <c r="G97" s="53">
        <f>+C14*1000/E87</f>
        <v>9.7869863055659763E-3</v>
      </c>
    </row>
    <row r="98" spans="1:18" x14ac:dyDescent="0.25">
      <c r="A98">
        <v>2026</v>
      </c>
      <c r="B98" s="53">
        <f>+D15*1000/F82</f>
        <v>2.9472107352513606E-2</v>
      </c>
      <c r="C98" s="53">
        <f>+D16*1000/F83</f>
        <v>0.28562697246429536</v>
      </c>
      <c r="D98" s="53">
        <f>+D17*1000/F84</f>
        <v>5.5887965155043068E-3</v>
      </c>
      <c r="E98" s="53">
        <f>+D18*1000/F85</f>
        <v>7.8618118948449477E-4</v>
      </c>
      <c r="F98" s="53">
        <f>+D19*1000/F86</f>
        <v>3.8979138253445762E-4</v>
      </c>
      <c r="G98" s="53">
        <f>+D14*1000/F87</f>
        <v>1.6123291812188172E-2</v>
      </c>
    </row>
    <row r="99" spans="1:18" x14ac:dyDescent="0.25">
      <c r="A99">
        <v>2027</v>
      </c>
      <c r="B99" s="53">
        <f>+E15*1000/G82</f>
        <v>3.0718458416769817E-2</v>
      </c>
      <c r="C99" s="53">
        <f>+E16*1000/G83</f>
        <v>0.31665914572932102</v>
      </c>
      <c r="D99" s="53">
        <f>+E17*1000/G84</f>
        <v>1.996615058158353E-2</v>
      </c>
      <c r="E99" s="53">
        <f>+E18*1000/G85</f>
        <v>7.2974739122941962E-4</v>
      </c>
      <c r="F99" s="53">
        <f>+E19*1000/G86</f>
        <v>1.1171269781631282E-3</v>
      </c>
      <c r="G99" s="53">
        <f>+E14*1000/G87</f>
        <v>1.8935049294540197E-2</v>
      </c>
    </row>
    <row r="100" spans="1:18" x14ac:dyDescent="0.25">
      <c r="A100">
        <v>2028</v>
      </c>
      <c r="B100" s="53">
        <f>+F15*1000/H82</f>
        <v>3.3806151366346147E-2</v>
      </c>
      <c r="C100" s="53">
        <f>+F16*1000/H83</f>
        <v>0.52432217250020374</v>
      </c>
      <c r="D100" s="53">
        <f>+F17*1000/H84</f>
        <v>3.1794612006413148E-2</v>
      </c>
      <c r="E100" s="53">
        <f>+F18*1000/H85</f>
        <v>8.7081533930721561E-4</v>
      </c>
      <c r="F100" s="53">
        <f>+F19*1000/H86</f>
        <v>1.8452543835730244E-3</v>
      </c>
      <c r="G100" s="53">
        <f>+F14*1000/H87</f>
        <v>2.6952241008164495E-2</v>
      </c>
    </row>
    <row r="101" spans="1:18" x14ac:dyDescent="0.25">
      <c r="A101">
        <v>2029</v>
      </c>
      <c r="B101" s="53">
        <f>+G15*1000/I82</f>
        <v>4.0188817674259372E-2</v>
      </c>
      <c r="C101" s="53">
        <f>+G16*1000/I83</f>
        <v>0.62865194122828372</v>
      </c>
      <c r="D101" s="53">
        <f>+G17*1000/I84</f>
        <v>4.2189019510438255E-2</v>
      </c>
      <c r="E101" s="53">
        <f>+G18*1000/I85</f>
        <v>8.9940420394175023E-4</v>
      </c>
      <c r="F101" s="53">
        <f>+G19*1000/I86</f>
        <v>2.6871140182525943E-3</v>
      </c>
      <c r="G101" s="53">
        <f>+G14*1000/I87</f>
        <v>3.2704596029494097E-2</v>
      </c>
    </row>
    <row r="102" spans="1:18" x14ac:dyDescent="0.25">
      <c r="A102">
        <v>2030</v>
      </c>
      <c r="B102" s="53">
        <f>+H15*1000/J82</f>
        <v>4.5008066508185125E-2</v>
      </c>
      <c r="C102" s="53">
        <f>+H16*1000/J83</f>
        <v>0.79639561915531631</v>
      </c>
      <c r="D102" s="53">
        <f>+H17*1000/J84</f>
        <v>5.0972227921857481E-2</v>
      </c>
      <c r="E102" s="53">
        <f>+H18*1000/J85</f>
        <v>8.3436954971128914E-4</v>
      </c>
      <c r="F102" s="53">
        <f>+H19*1000/J86</f>
        <v>3.4711308507656088E-3</v>
      </c>
      <c r="G102" s="53">
        <f>+H14*1000/J87</f>
        <v>3.9677066214645527E-2</v>
      </c>
    </row>
    <row r="104" spans="1:18" x14ac:dyDescent="0.25">
      <c r="A104" s="51" t="s">
        <v>915</v>
      </c>
      <c r="B104" s="31"/>
      <c r="C104" s="31"/>
      <c r="D104" s="31"/>
      <c r="E104" s="31"/>
      <c r="F104" s="31"/>
      <c r="G104" s="31"/>
      <c r="H104" s="31"/>
    </row>
    <row r="105" spans="1:18" x14ac:dyDescent="0.25">
      <c r="A105" s="14"/>
      <c r="B105" s="31"/>
      <c r="C105" s="31"/>
      <c r="D105" s="31"/>
      <c r="E105" s="31"/>
      <c r="F105" s="31"/>
      <c r="G105" s="31"/>
      <c r="H105" s="31"/>
    </row>
    <row r="106" spans="1:18" ht="18.75" x14ac:dyDescent="0.3">
      <c r="A106" s="14"/>
      <c r="B106" s="33">
        <v>2022</v>
      </c>
      <c r="C106" s="33">
        <v>2023</v>
      </c>
      <c r="D106" s="33">
        <v>2024</v>
      </c>
      <c r="E106" s="33">
        <v>2025</v>
      </c>
      <c r="F106" s="33">
        <v>2026</v>
      </c>
      <c r="G106" s="33">
        <v>2027</v>
      </c>
      <c r="H106" s="33">
        <v>2028</v>
      </c>
      <c r="I106" s="33">
        <v>2029</v>
      </c>
      <c r="J106" s="33">
        <v>2030</v>
      </c>
      <c r="M106" t="s">
        <v>923</v>
      </c>
      <c r="N106" t="s">
        <v>924</v>
      </c>
      <c r="Q106" t="s">
        <v>925</v>
      </c>
      <c r="R106" t="s">
        <v>926</v>
      </c>
    </row>
    <row r="107" spans="1:18" x14ac:dyDescent="0.25">
      <c r="A107" s="14" t="s">
        <v>918</v>
      </c>
      <c r="D107" s="31">
        <f>SUMIF('StG 1'!$AN:$AN,"capex",'StG 1'!AD:AK)+SUMIF('StG 2'!$AN:$AN,"capex",'StG 2'!AD:AK)+SUMIF('StG 3'!$AN:$AN,"capex",'StG 3'!AD:AK)+SUMIF('StG 4'!$AN:$AN,"capex",'StG 4'!AD:AK)+SUMIF('StG 5'!$AN:$AN,"capex",'StG 5'!AD:AK)</f>
        <v>0</v>
      </c>
      <c r="E107" s="31">
        <f>SUMIF('StG 1'!$AN:$AN,"capex",'StG 1'!AE:AL)+SUMIF('StG 2'!$AN:$AN,"capex",'StG 2'!AE:AL)+SUMIF('StG 3'!$AN:$AN,"capex",'StG 3'!AE:AL)+SUMIF('StG 4'!$AN:$AN,"capex",'StG 4'!AE:AL)+SUMIF('StG 5'!$AN:$AN,"capex",'StG 5'!AE:AL)</f>
        <v>0</v>
      </c>
      <c r="F107" s="31">
        <f>SUMIF('StG 1'!$AN:$AN,"capex",'StG 1'!AF:AM)+SUMIF('StG 2'!$AN:$AN,"capex",'StG 2'!AF:AM)+SUMIF('StG 3'!$AN:$AN,"capex",'StG 3'!AF:AM)+SUMIF('StG 4'!$AN:$AN,"capex",'StG 4'!AF:AM)+SUMIF('StG 5'!$AN:$AN,"capex",'StG 5'!AF:AM)</f>
        <v>0</v>
      </c>
      <c r="G107" s="31">
        <f>SUMIF('StG 1'!$AN:$AN,"capex",'StG 1'!AG:AN)+SUMIF('StG 2'!$AN:$AN,"capex",'StG 2'!AG:AN)+SUMIF('StG 3'!$AN:$AN,"capex",'StG 3'!AG:AN)+SUMIF('StG 4'!$AN:$AN,"capex",'StG 4'!AG:AN)+SUMIF('StG 5'!$AN:$AN,"capex",'StG 5'!AG:AN)</f>
        <v>0</v>
      </c>
      <c r="H107" s="31">
        <f>SUMIF('StG 1'!$AN:$AN,"capex",'StG 1'!AH:AO)+SUMIF('StG 2'!$AN:$AN,"capex",'StG 2'!AH:AO)+SUMIF('StG 3'!$AN:$AN,"capex",'StG 3'!AH:AO)+SUMIF('StG 4'!$AN:$AN,"capex",'StG 4'!AH:AO)+SUMIF('StG 5'!$AN:$AN,"capex",'StG 5'!AH:AO)</f>
        <v>0</v>
      </c>
      <c r="I107" s="31">
        <f>SUMIF('StG 1'!$AN:$AN,"capex",'StG 1'!AI:AP)+SUMIF('StG 2'!$AN:$AN,"capex",'StG 2'!AI:AP)+SUMIF('StG 3'!$AN:$AN,"capex",'StG 3'!AI:AP)+SUMIF('StG 4'!$AN:$AN,"capex",'StG 4'!AI:AP)+SUMIF('StG 5'!$AN:$AN,"capex",'StG 5'!AI:AP)</f>
        <v>0</v>
      </c>
      <c r="J107" s="31">
        <f>SUMIF('StG 1'!$AN:$AN,"capex",'StG 1'!AJ:AQ)+SUMIF('StG 2'!$AN:$AN,"capex",'StG 2'!AJ:AQ)+SUMIF('StG 3'!$AN:$AN,"capex",'StG 3'!AJ:AQ)+SUMIF('StG 4'!$AN:$AN,"capex",'StG 4'!AJ:AQ)+SUMIF('StG 5'!$AN:$AN,"capex",'StG 5'!AJ:AQ)</f>
        <v>0</v>
      </c>
      <c r="L107">
        <v>2024</v>
      </c>
      <c r="M107" s="55">
        <f>D113</f>
        <v>0</v>
      </c>
      <c r="N107" s="55">
        <f>D114</f>
        <v>1.4627355616146108E-4</v>
      </c>
      <c r="Q107" s="54">
        <f>D107/1000000</f>
        <v>0</v>
      </c>
      <c r="R107" s="54">
        <f>D108/1000000</f>
        <v>0.38300000000000001</v>
      </c>
    </row>
    <row r="108" spans="1:18" x14ac:dyDescent="0.25">
      <c r="A108" s="14" t="s">
        <v>917</v>
      </c>
      <c r="B108" s="31"/>
      <c r="C108" s="31"/>
      <c r="D108" s="31">
        <f t="shared" ref="D108:J108" si="25">B2-D107</f>
        <v>383000</v>
      </c>
      <c r="E108" s="31">
        <f t="shared" si="25"/>
        <v>41252000</v>
      </c>
      <c r="F108" s="31">
        <f t="shared" si="25"/>
        <v>73176000</v>
      </c>
      <c r="G108" s="31">
        <f t="shared" si="25"/>
        <v>105200000</v>
      </c>
      <c r="H108" s="31">
        <f t="shared" si="25"/>
        <v>158987000</v>
      </c>
      <c r="I108" s="31">
        <f t="shared" si="25"/>
        <v>210878000</v>
      </c>
      <c r="J108" s="31">
        <f t="shared" si="25"/>
        <v>281274000</v>
      </c>
      <c r="L108">
        <v>2025</v>
      </c>
      <c r="M108" s="55">
        <f>E113</f>
        <v>0</v>
      </c>
      <c r="N108" s="55">
        <f>E114</f>
        <v>1.4066758529402723E-2</v>
      </c>
      <c r="Q108" s="54">
        <f>E107/1000000</f>
        <v>0</v>
      </c>
      <c r="R108" s="54">
        <f>E108/1000000</f>
        <v>41.252000000000002</v>
      </c>
    </row>
    <row r="109" spans="1:18" x14ac:dyDescent="0.25">
      <c r="A109" s="14" t="s">
        <v>916</v>
      </c>
      <c r="D109" s="54">
        <v>588135817.696859</v>
      </c>
      <c r="E109" s="15">
        <f>E111*$D$109/$D$111</f>
        <v>658712115.82048213</v>
      </c>
      <c r="F109" s="15">
        <f t="shared" ref="F109:J109" si="26">F111*$D$109/$D$111</f>
        <v>737757569.71894002</v>
      </c>
      <c r="G109" s="15">
        <f t="shared" si="26"/>
        <v>826288478.08521283</v>
      </c>
      <c r="H109" s="15">
        <f t="shared" si="26"/>
        <v>925443095.45543838</v>
      </c>
      <c r="I109" s="15">
        <f t="shared" si="26"/>
        <v>1036496266.9100909</v>
      </c>
      <c r="J109" s="15">
        <f t="shared" si="26"/>
        <v>1160875818.9393017</v>
      </c>
      <c r="L109">
        <v>2026</v>
      </c>
      <c r="M109" s="55">
        <f>F113</f>
        <v>0</v>
      </c>
      <c r="N109" s="55">
        <f>F114</f>
        <v>2.2279203825346424E-2</v>
      </c>
      <c r="Q109" s="54">
        <f>F107/1000000</f>
        <v>0</v>
      </c>
      <c r="R109" s="54">
        <f>F108/1000000</f>
        <v>73.176000000000002</v>
      </c>
    </row>
    <row r="110" spans="1:18" x14ac:dyDescent="0.25">
      <c r="A110" s="14" t="s">
        <v>920</v>
      </c>
      <c r="D110" s="54">
        <f>D111-D109</f>
        <v>2618381681.903141</v>
      </c>
      <c r="E110" s="54">
        <f t="shared" ref="E110:J110" si="27">E111-E109</f>
        <v>2932587483.7315178</v>
      </c>
      <c r="F110" s="54">
        <f t="shared" si="27"/>
        <v>3284497981.7793007</v>
      </c>
      <c r="G110" s="54">
        <f t="shared" si="27"/>
        <v>3678637739.5928164</v>
      </c>
      <c r="H110" s="54">
        <f t="shared" si="27"/>
        <v>4120074268.3439541</v>
      </c>
      <c r="I110" s="54">
        <f t="shared" si="27"/>
        <v>4614483180.545229</v>
      </c>
      <c r="J110" s="54">
        <f t="shared" si="27"/>
        <v>5168221162.2106562</v>
      </c>
      <c r="L110">
        <v>2027</v>
      </c>
      <c r="M110" s="55">
        <f>G113</f>
        <v>0</v>
      </c>
      <c r="N110" s="55">
        <f>G114</f>
        <v>2.8597542744626017E-2</v>
      </c>
      <c r="Q110" s="54">
        <f>G107/1000000</f>
        <v>0</v>
      </c>
      <c r="R110" s="54">
        <f>G108/1000000</f>
        <v>105.2</v>
      </c>
    </row>
    <row r="111" spans="1:18" x14ac:dyDescent="0.25">
      <c r="A111" s="14" t="s">
        <v>919</v>
      </c>
      <c r="D111" s="54">
        <f>D87/1000</f>
        <v>3206517499.5999999</v>
      </c>
      <c r="E111" s="54">
        <f t="shared" ref="E111:J111" si="28">E87/1000</f>
        <v>3591299599.552</v>
      </c>
      <c r="F111" s="54">
        <f t="shared" si="28"/>
        <v>4022255551.4982405</v>
      </c>
      <c r="G111" s="54">
        <f t="shared" si="28"/>
        <v>4504926217.6780291</v>
      </c>
      <c r="H111" s="54">
        <f t="shared" si="28"/>
        <v>5045517363.7993927</v>
      </c>
      <c r="I111" s="54">
        <f t="shared" si="28"/>
        <v>5650979447.4553194</v>
      </c>
      <c r="J111" s="54">
        <f t="shared" si="28"/>
        <v>6329096981.1499577</v>
      </c>
      <c r="L111">
        <v>2028</v>
      </c>
      <c r="M111" s="55">
        <f>H113</f>
        <v>0</v>
      </c>
      <c r="N111" s="55">
        <f>H114</f>
        <v>3.8588382064264133E-2</v>
      </c>
      <c r="Q111" s="54">
        <f>H107/1000000</f>
        <v>0</v>
      </c>
      <c r="R111" s="54">
        <f>H108/1000000</f>
        <v>158.98699999999999</v>
      </c>
    </row>
    <row r="112" spans="1:18" x14ac:dyDescent="0.25">
      <c r="L112">
        <v>2029</v>
      </c>
      <c r="M112" s="55">
        <f>I113</f>
        <v>0</v>
      </c>
      <c r="N112" s="55">
        <f>I114</f>
        <v>4.5699158876354055E-2</v>
      </c>
      <c r="Q112" s="54">
        <f>I107/1000000</f>
        <v>0</v>
      </c>
      <c r="R112" s="54">
        <f>I108/1000000</f>
        <v>210.87799999999999</v>
      </c>
    </row>
    <row r="113" spans="1:18" x14ac:dyDescent="0.25">
      <c r="A113" s="14" t="s">
        <v>921</v>
      </c>
      <c r="D113" s="53">
        <f>D107/D109</f>
        <v>0</v>
      </c>
      <c r="E113" s="53">
        <f t="shared" ref="E113:J113" si="29">E107/E109</f>
        <v>0</v>
      </c>
      <c r="F113" s="53">
        <f t="shared" si="29"/>
        <v>0</v>
      </c>
      <c r="G113" s="53">
        <f>G107/G109</f>
        <v>0</v>
      </c>
      <c r="H113" s="53">
        <f t="shared" si="29"/>
        <v>0</v>
      </c>
      <c r="I113" s="53">
        <f t="shared" si="29"/>
        <v>0</v>
      </c>
      <c r="J113" s="53">
        <f t="shared" si="29"/>
        <v>0</v>
      </c>
      <c r="L113">
        <v>2030</v>
      </c>
      <c r="M113" s="55">
        <f>J113</f>
        <v>0</v>
      </c>
      <c r="N113" s="55">
        <f>J114</f>
        <v>5.4423754551495972E-2</v>
      </c>
      <c r="Q113" s="54">
        <f>J107/1000000</f>
        <v>0</v>
      </c>
      <c r="R113" s="54">
        <f>J108/1000000</f>
        <v>281.274</v>
      </c>
    </row>
    <row r="114" spans="1:18" x14ac:dyDescent="0.25">
      <c r="A114" s="14" t="s">
        <v>922</v>
      </c>
      <c r="D114" s="53">
        <f>D108/D110</f>
        <v>1.4627355616146108E-4</v>
      </c>
      <c r="E114" s="53">
        <f t="shared" ref="E114:J114" si="30">E108/E110</f>
        <v>1.4066758529402723E-2</v>
      </c>
      <c r="F114" s="53">
        <f t="shared" si="30"/>
        <v>2.2279203825346424E-2</v>
      </c>
      <c r="G114" s="53">
        <f t="shared" si="30"/>
        <v>2.8597542744626017E-2</v>
      </c>
      <c r="H114" s="53">
        <f t="shared" si="30"/>
        <v>3.8588382064264133E-2</v>
      </c>
      <c r="I114" s="53">
        <f t="shared" si="30"/>
        <v>4.5699158876354055E-2</v>
      </c>
      <c r="J114" s="53">
        <f t="shared" si="30"/>
        <v>5.4423754551495972E-2</v>
      </c>
    </row>
    <row r="116" spans="1:18" ht="30.75" x14ac:dyDescent="0.3">
      <c r="A116" s="19" t="s">
        <v>929</v>
      </c>
      <c r="C116" s="33">
        <v>2025</v>
      </c>
      <c r="D116" s="33">
        <v>2026</v>
      </c>
      <c r="E116" s="33">
        <v>2027</v>
      </c>
      <c r="F116" s="33">
        <v>2028</v>
      </c>
      <c r="G116" s="33">
        <v>2029</v>
      </c>
      <c r="H116" s="33">
        <v>2030</v>
      </c>
      <c r="I116" s="33"/>
      <c r="J116" s="33"/>
    </row>
    <row r="118" spans="1:18" x14ac:dyDescent="0.25">
      <c r="A118" s="166" t="s">
        <v>930</v>
      </c>
      <c r="B118" s="54">
        <f>(SUM(NPV!F85:L85)-SUM(NPV!F91:L91))/(('Strategic level'!U5-'Strategic level'!O5)*1000)</f>
        <v>109271.91811560298</v>
      </c>
      <c r="D118" s="15"/>
      <c r="E118" s="15"/>
      <c r="F118" s="15"/>
      <c r="G118" s="15"/>
      <c r="H118" s="15"/>
      <c r="I118" s="15"/>
      <c r="J118" s="15"/>
    </row>
    <row r="119" spans="1:18" x14ac:dyDescent="0.25">
      <c r="B119" s="54"/>
      <c r="D119" s="15"/>
      <c r="E119" s="15"/>
      <c r="F119" s="15"/>
      <c r="G119" s="15"/>
      <c r="H119" s="15"/>
      <c r="I119" s="15"/>
      <c r="J119" s="15"/>
    </row>
    <row r="120" spans="1:18" x14ac:dyDescent="0.25">
      <c r="A120" s="167" t="s">
        <v>933</v>
      </c>
      <c r="B120" s="54"/>
      <c r="C120" s="26">
        <f>((NPV!G85-NPV!G91)/(('Strategic level'!P5-'Strategic level'!O5)*1000))/1000</f>
        <v>160.45356955761841</v>
      </c>
      <c r="D120" s="26">
        <f>((NPV!H85-NPV!H91)/(('Strategic level'!Q5-'Strategic level'!P5)*1000))/1000</f>
        <v>20.280330065025701</v>
      </c>
      <c r="E120" s="26">
        <f>((NPV!I85-NPV!I91)/(('Strategic level'!R5-'Strategic level'!Q5)*1000))/1000</f>
        <v>183.06656334205906</v>
      </c>
      <c r="F120" s="26">
        <f>((NPV!J85-NPV!J91)/(('Strategic level'!S5-'Strategic level'!R5)*1000))/1000</f>
        <v>367.53123137629592</v>
      </c>
      <c r="G120" s="26">
        <f>((NPV!K85-NPV!K91)/(('Strategic level'!T5-'Strategic level'!S5)*1000))/1000</f>
        <v>381.93008462720383</v>
      </c>
      <c r="H120" s="26">
        <f>((NPV!L85-NPV!L91)/(('Strategic level'!U5-'Strategic level'!T5)*1000))/1000</f>
        <v>-1.0442475844637678</v>
      </c>
      <c r="I120" s="15"/>
      <c r="J120" s="15"/>
    </row>
    <row r="121" spans="1:18" x14ac:dyDescent="0.25">
      <c r="A121" s="166"/>
      <c r="B121" s="54"/>
      <c r="D121" s="15"/>
      <c r="E121" s="15"/>
      <c r="F121" s="15"/>
      <c r="G121" s="15"/>
      <c r="H121" s="15"/>
      <c r="I121" s="15"/>
      <c r="J121" s="15"/>
    </row>
    <row r="122" spans="1:18" x14ac:dyDescent="0.25">
      <c r="A122" s="166" t="s">
        <v>931</v>
      </c>
      <c r="B122" s="54">
        <f>SUM(D108:J108)/('Strategic level'!U5-'Strategic level'!O5)</f>
        <v>3900523.8407190451</v>
      </c>
    </row>
    <row r="123" spans="1:18" x14ac:dyDescent="0.25">
      <c r="B123" s="54"/>
    </row>
    <row r="124" spans="1:18" x14ac:dyDescent="0.25">
      <c r="A124" s="166" t="s">
        <v>934</v>
      </c>
      <c r="B124" s="54"/>
      <c r="C124" s="31">
        <f>(E108/('Strategic level'!P5-'Strategic level'!O5))/1000</f>
        <v>1390.8607532104834</v>
      </c>
      <c r="D124" s="31">
        <f>(F108/('Strategic level'!Q5-'Strategic level'!P5))/1000</f>
        <v>2005.8672982187938</v>
      </c>
      <c r="E124" s="31">
        <f>(G108/('Strategic level'!R5-'Strategic level'!Q5))/1000</f>
        <v>2799.7035445413276</v>
      </c>
      <c r="F124" s="31">
        <f>(H108/('Strategic level'!S5-'Strategic level'!R5))/1000</f>
        <v>4107.907890988894</v>
      </c>
      <c r="G124" s="31">
        <f>(I108/('Strategic level'!T5-'Strategic level'!S5))/1000</f>
        <v>5289.9690597891313</v>
      </c>
      <c r="H124" s="31">
        <f>(J108/('Strategic level'!U5-'Strategic level'!T5))/1000</f>
        <v>6850.3730511238027</v>
      </c>
    </row>
    <row r="125" spans="1:18" x14ac:dyDescent="0.25">
      <c r="A125" s="166"/>
      <c r="B125" s="15"/>
    </row>
    <row r="126" spans="1:18" x14ac:dyDescent="0.25">
      <c r="A126" s="166" t="s">
        <v>932</v>
      </c>
      <c r="B126" s="54">
        <f>I15/('Strategic level'!U5-'Strategic level'!O5)</f>
        <v>1143534.2804290918</v>
      </c>
    </row>
    <row r="127" spans="1:18" x14ac:dyDescent="0.25">
      <c r="B127" s="54"/>
    </row>
    <row r="128" spans="1:18" x14ac:dyDescent="0.25">
      <c r="A128" s="167" t="s">
        <v>935</v>
      </c>
      <c r="B128" s="54"/>
      <c r="C128" s="31">
        <f>(C15/('Strategic level'!P5-'Strategic level'!O5))/1000</f>
        <v>747.3870434504214</v>
      </c>
      <c r="D128" s="31">
        <f>(D15/('Strategic level'!Q5-'Strategic level'!P5))/1000</f>
        <v>805.98169030183669</v>
      </c>
      <c r="E128" s="31">
        <f>(E15/('Strategic level'!R5-'Strategic level'!Q5))/1000</f>
        <v>913.4698142855184</v>
      </c>
      <c r="F128" s="31">
        <f>(F15/('Strategic level'!S5-'Strategic level'!R5))/1000</f>
        <v>1093.1287409918241</v>
      </c>
      <c r="G128" s="31">
        <f>(G15/('Strategic level'!T5-'Strategic level'!S5))/1000</f>
        <v>1413.063274205568</v>
      </c>
      <c r="H128" s="31">
        <f>(H15/('Strategic level'!U5-'Strategic level'!T5))/1000</f>
        <v>1720.7886542202702</v>
      </c>
    </row>
    <row r="129" spans="1:10" x14ac:dyDescent="0.25">
      <c r="A129" s="166"/>
      <c r="B129" s="15"/>
    </row>
    <row r="131" spans="1:10" ht="18.75" x14ac:dyDescent="0.3">
      <c r="A131" s="33" t="s">
        <v>876</v>
      </c>
      <c r="B131" s="33">
        <v>2024</v>
      </c>
      <c r="C131" s="33">
        <v>2025</v>
      </c>
      <c r="D131" s="33">
        <v>2026</v>
      </c>
      <c r="E131" s="33">
        <v>2027</v>
      </c>
      <c r="F131" s="33">
        <v>2028</v>
      </c>
      <c r="G131" s="33">
        <v>2029</v>
      </c>
      <c r="H131" s="33">
        <v>2030</v>
      </c>
    </row>
    <row r="132" spans="1:10" x14ac:dyDescent="0.25">
      <c r="A132" s="16" t="s">
        <v>881</v>
      </c>
      <c r="B132" s="168">
        <f>SUM(B133:B136)</f>
        <v>17.762334340062353</v>
      </c>
      <c r="C132" s="17">
        <f t="shared" ref="C132:G132" si="31">SUM(C133:C136)</f>
        <v>36.493054407414725</v>
      </c>
      <c r="D132" s="17">
        <f t="shared" si="31"/>
        <v>72.436153732923344</v>
      </c>
      <c r="E132" s="17">
        <f t="shared" si="31"/>
        <v>98.321199385151431</v>
      </c>
      <c r="F132" s="17">
        <f t="shared" si="31"/>
        <v>144.76256035007478</v>
      </c>
      <c r="G132" s="17">
        <f t="shared" si="31"/>
        <v>195.6528348854755</v>
      </c>
      <c r="H132" s="17">
        <f>SUM(H133:H136)</f>
        <v>281.31687645254937</v>
      </c>
      <c r="J132" s="28"/>
    </row>
    <row r="133" spans="1:10" x14ac:dyDescent="0.25">
      <c r="A133" s="14" t="s">
        <v>877</v>
      </c>
      <c r="B133" s="28">
        <f>(+NPV!F2+NPV!F6+NPV!F23+NPV!F26+NPV!F38+NPV!F60+NPV!F66+NPV!F72+NPV!F79)/1000000000</f>
        <v>14.299262364034554</v>
      </c>
      <c r="C133" s="28">
        <f>(+NPV!G2+NPV!G6+NPV!G23+NPV!G26+NPV!G38+NPV!G60+NPV!G66+NPV!G72+NPV!G79)/1000000000</f>
        <v>28.951041063620373</v>
      </c>
      <c r="D133" s="28">
        <f>(+NPV!H2+NPV!H6+NPV!H23+NPV!H26+NPV!H38+NPV!H60+NPV!H66+NPV!H72+NPV!H79)/1000000000</f>
        <v>47.090237761957447</v>
      </c>
      <c r="E133" s="28">
        <f>(+NPV!I2+NPV!I6+NPV!I23+NPV!I26+NPV!I38+NPV!I60+NPV!I66+NPV!I72+NPV!I79)/1000000000</f>
        <v>71.664678144978154</v>
      </c>
      <c r="F133" s="28">
        <f>(+NPV!J2+NPV!J6+NPV!J23+NPV!J26+NPV!J38+NPV!J60+NPV!J66+NPV!J72+NPV!J79)/1000000000</f>
        <v>113.13926087376136</v>
      </c>
      <c r="G133" s="28">
        <f>(+NPV!K2+NPV!K6+NPV!K23+NPV!K26+NPV!K38+NPV!K60+NPV!K66+NPV!K72+NPV!K79)/1000000000</f>
        <v>159.21980374099334</v>
      </c>
      <c r="H133" s="28">
        <f>(+NPV!L2+NPV!L6+NPV!L23+NPV!L26+NPV!L38+NPV!L60+NPV!L66+NPV!L72+NPV!L79)/1000000000</f>
        <v>237.69093872582437</v>
      </c>
    </row>
    <row r="134" spans="1:10" x14ac:dyDescent="0.25">
      <c r="A134" s="14" t="s">
        <v>878</v>
      </c>
      <c r="B134" s="28">
        <f>(+NPV!F47)/1000000000</f>
        <v>1.5462120960000003</v>
      </c>
      <c r="C134" s="28">
        <f>(+NPV!G47)/1000000000</f>
        <v>3.0273205248000004</v>
      </c>
      <c r="D134" s="28">
        <f>(+NPV!H47)/1000000000</f>
        <v>17.682676840857603</v>
      </c>
      <c r="E134" s="28">
        <f>(+NPV!I47)/1000000000</f>
        <v>18.323463591493635</v>
      </c>
      <c r="F134" s="28">
        <f>(+NPV!J47)/1000000000</f>
        <v>18.942280510679286</v>
      </c>
      <c r="G134" s="28">
        <f>(+NPV!K47)/1000000000</f>
        <v>19.536344753097517</v>
      </c>
      <c r="H134" s="28">
        <f>(+NPV!L47)/1000000000</f>
        <v>20.138180937132084</v>
      </c>
    </row>
    <row r="135" spans="1:10" x14ac:dyDescent="0.25">
      <c r="A135" s="14" t="s">
        <v>879</v>
      </c>
      <c r="B135" s="28">
        <f>(+NPV!F10+NPV!F16)/1000000000</f>
        <v>1.9168598800277987</v>
      </c>
      <c r="C135" s="28">
        <f>(+NPV!G10+NPV!G16)/1000000000</f>
        <v>1.9815196189943489</v>
      </c>
      <c r="D135" s="28">
        <f>(+NPV!H10+NPV!H16)/1000000000</f>
        <v>2.2709942301083053</v>
      </c>
      <c r="E135" s="28">
        <f>(+NPV!I10+NPV!I16)/1000000000</f>
        <v>2.8146208486796422</v>
      </c>
      <c r="F135" s="28">
        <f>(+NPV!J10+NPV!J16)/1000000000</f>
        <v>4.2059909656341219</v>
      </c>
      <c r="G135" s="28">
        <f>(+NPV!K10+NPV!K16)/1000000000</f>
        <v>7.2410889913846166</v>
      </c>
      <c r="H135" s="28">
        <f>(+NPV!L10+NPV!L16)/1000000000</f>
        <v>13.464085789592946</v>
      </c>
    </row>
    <row r="136" spans="1:10" x14ac:dyDescent="0.25">
      <c r="A136" s="14" t="s">
        <v>880</v>
      </c>
      <c r="B136" s="28">
        <f>(+NPV!F51+NPV!F53+NPV!F57+NPV!F63+NPV!F69+NPV!F76)/1000000000</f>
        <v>0</v>
      </c>
      <c r="C136" s="28">
        <f>(+NPV!G51+NPV!G53+NPV!G57+NPV!G63+NPV!G69+NPV!G76)/1000000000</f>
        <v>2.5331731999999998</v>
      </c>
      <c r="D136" s="28">
        <f>(+NPV!H51+NPV!H53+NPV!H57+NPV!H63+NPV!H69+NPV!H76)/1000000000</f>
        <v>5.3922448999999997</v>
      </c>
      <c r="E136" s="28">
        <f>(+NPV!I51+NPV!I53+NPV!I57+NPV!I63+NPV!I69+NPV!I76)/1000000000</f>
        <v>5.5184368000000008</v>
      </c>
      <c r="F136" s="28">
        <f>(+NPV!J51+NPV!J53+NPV!J57+NPV!J63+NPV!J69+NPV!J76)/1000000000</f>
        <v>8.4750280000000018</v>
      </c>
      <c r="G136" s="28">
        <f>(+NPV!K51+NPV!K53+NPV!K57+NPV!K63+NPV!K69+NPV!K76)/1000000000</f>
        <v>9.6555974000000013</v>
      </c>
      <c r="H136" s="28">
        <f>(+NPV!L51+NPV!L53+NPV!L57+NPV!L63+NPV!L69+NPV!L76)/1000000000</f>
        <v>10.023671000000002</v>
      </c>
    </row>
    <row r="138" spans="1:10" x14ac:dyDescent="0.25">
      <c r="A138" s="16" t="s">
        <v>890</v>
      </c>
      <c r="B138" s="50">
        <f>(+B141+B142+B143+B144+B145+B146)/1000000000</f>
        <v>0</v>
      </c>
      <c r="C138" s="50">
        <f>(+C141+C142+C143+C144+C145+C146+C139)/1000000000</f>
        <v>11</v>
      </c>
      <c r="D138" s="50">
        <f>(+D141+D142+D143+D144+D145+D146+D139)/1000000000</f>
        <v>32.450000000000003</v>
      </c>
      <c r="E138" s="50">
        <f>(+E141+E142+E143+E144+E145+E146+E139)/1000000000</f>
        <v>52.8</v>
      </c>
      <c r="F138" s="50">
        <f>(+F141+F142+F143+F144+F145+F146+F139)/1000000000</f>
        <v>83.05</v>
      </c>
      <c r="G138" s="50">
        <f>(+G141+G142+G143+G144+G145+G146+G139)/1000000000</f>
        <v>111.65</v>
      </c>
      <c r="H138" s="50">
        <f>(+H141+H142+H143+H144+H145+H146)/1000000000</f>
        <v>138.6</v>
      </c>
    </row>
    <row r="139" spans="1:10" x14ac:dyDescent="0.25">
      <c r="A139" s="14" t="s">
        <v>882</v>
      </c>
      <c r="B139" s="26">
        <f>+'StG 1'!AD71*1000</f>
        <v>0</v>
      </c>
      <c r="C139" s="26">
        <f>+'StG 1'!AE71*1000</f>
        <v>11000000000</v>
      </c>
      <c r="D139" s="26">
        <f>+'StG 1'!AF71*1000</f>
        <v>22000000000</v>
      </c>
      <c r="E139" s="26">
        <f>+'StG 1'!AG71*1000</f>
        <v>22000000000</v>
      </c>
      <c r="F139" s="26">
        <f>+'StG 1'!AH71*1000</f>
        <v>33000000000</v>
      </c>
      <c r="G139" s="26">
        <f>+'StG 1'!AI71*1000</f>
        <v>33000000000</v>
      </c>
      <c r="H139" s="26">
        <f>+'StG 1'!AJ71*1000</f>
        <v>33000000000</v>
      </c>
      <c r="J139" s="28"/>
    </row>
    <row r="140" spans="1:10" x14ac:dyDescent="0.25">
      <c r="A140" s="14" t="s">
        <v>883</v>
      </c>
      <c r="B140">
        <f>+B139/20</f>
        <v>0</v>
      </c>
      <c r="C140" s="26">
        <f t="shared" ref="C140:G140" si="32">+C139/20</f>
        <v>550000000</v>
      </c>
      <c r="D140" s="26">
        <f>+D139/20</f>
        <v>1100000000</v>
      </c>
      <c r="E140" s="26">
        <f t="shared" si="32"/>
        <v>1100000000</v>
      </c>
      <c r="F140" s="26">
        <f>+F139/20</f>
        <v>1650000000</v>
      </c>
      <c r="G140" s="26">
        <f t="shared" si="32"/>
        <v>1650000000</v>
      </c>
      <c r="H140" s="26">
        <f>+H139/20</f>
        <v>1650000000</v>
      </c>
    </row>
    <row r="141" spans="1:10" x14ac:dyDescent="0.25">
      <c r="A141" s="14" t="s">
        <v>884</v>
      </c>
      <c r="D141" s="26">
        <f>+C139-C140</f>
        <v>10450000000</v>
      </c>
      <c r="E141" s="26">
        <f>+D141-$C$140</f>
        <v>9900000000</v>
      </c>
      <c r="F141" s="26">
        <f t="shared" ref="F141:H141" si="33">+E141-$C$140</f>
        <v>9350000000</v>
      </c>
      <c r="G141" s="26">
        <f t="shared" si="33"/>
        <v>8800000000</v>
      </c>
      <c r="H141" s="26">
        <f t="shared" si="33"/>
        <v>8250000000</v>
      </c>
    </row>
    <row r="142" spans="1:10" x14ac:dyDescent="0.25">
      <c r="A142" s="14" t="s">
        <v>885</v>
      </c>
      <c r="E142" s="26">
        <f>+D139-$D$140</f>
        <v>20900000000</v>
      </c>
      <c r="F142" s="26">
        <f>+E142-$D$140</f>
        <v>19800000000</v>
      </c>
      <c r="G142" s="26">
        <f t="shared" ref="G142:H142" si="34">+F142-$D$140</f>
        <v>18700000000</v>
      </c>
      <c r="H142" s="26">
        <f t="shared" si="34"/>
        <v>17600000000</v>
      </c>
    </row>
    <row r="143" spans="1:10" x14ac:dyDescent="0.25">
      <c r="A143" s="14" t="s">
        <v>886</v>
      </c>
      <c r="D143" s="28"/>
      <c r="F143" s="26">
        <f>+E139-E140</f>
        <v>20900000000</v>
      </c>
      <c r="G143" s="26">
        <f>+F143-$E$140</f>
        <v>19800000000</v>
      </c>
      <c r="H143" s="26">
        <f>+G143-$E$140</f>
        <v>18700000000</v>
      </c>
    </row>
    <row r="144" spans="1:10" x14ac:dyDescent="0.25">
      <c r="A144" s="14" t="s">
        <v>887</v>
      </c>
      <c r="G144" s="26">
        <f>+F139-F140</f>
        <v>31350000000</v>
      </c>
      <c r="H144" s="26">
        <f>+G144-F140</f>
        <v>29700000000</v>
      </c>
    </row>
    <row r="145" spans="1:13" x14ac:dyDescent="0.25">
      <c r="A145" s="14" t="s">
        <v>888</v>
      </c>
      <c r="H145" s="26">
        <f>+G139-G140</f>
        <v>31350000000</v>
      </c>
    </row>
    <row r="146" spans="1:13" x14ac:dyDescent="0.25">
      <c r="A146" s="14" t="s">
        <v>889</v>
      </c>
      <c r="H146" s="26">
        <f>+H139</f>
        <v>33000000000</v>
      </c>
    </row>
    <row r="148" spans="1:13" ht="18.75" x14ac:dyDescent="0.3">
      <c r="A148" s="51" t="s">
        <v>891</v>
      </c>
      <c r="B148" s="50">
        <f>+NPV!F95/1000000000</f>
        <v>57.702119545020871</v>
      </c>
      <c r="I148" s="33"/>
      <c r="J148" s="33"/>
      <c r="K148" s="33"/>
      <c r="L148" s="33"/>
      <c r="M148" s="33"/>
    </row>
    <row r="149" spans="1:13" x14ac:dyDescent="0.25">
      <c r="A149" s="14" t="s">
        <v>892</v>
      </c>
      <c r="B149" s="25">
        <f>+NPV!F93/1000000000</f>
        <v>0.34578084175515833</v>
      </c>
      <c r="C149" s="25">
        <f>+NPV!G93/1000000000</f>
        <v>33.623995241179742</v>
      </c>
      <c r="D149" s="25">
        <f>+NPV!H93/1000000000</f>
        <v>53.84868792462558</v>
      </c>
      <c r="E149" s="25">
        <f>+NPV!I93/1000000000</f>
        <v>69.891498615032049</v>
      </c>
      <c r="F149" s="25">
        <f>+NPV!J93/1000000000</f>
        <v>95.36134781351727</v>
      </c>
      <c r="G149" s="25">
        <f>+NPV!K93/1000000000</f>
        <v>114.19423865667085</v>
      </c>
      <c r="H149" s="25">
        <f>+NPV!L93/1000000000</f>
        <v>137.5132865958274</v>
      </c>
    </row>
    <row r="150" spans="1:13" x14ac:dyDescent="0.25">
      <c r="A150" s="14" t="s">
        <v>893</v>
      </c>
      <c r="B150" s="25">
        <f>+NPV!F94/1000000000</f>
        <v>16.036226944238418</v>
      </c>
      <c r="C150" s="25">
        <f>+NPV!G94/1000000000</f>
        <v>29.745037518933042</v>
      </c>
      <c r="D150" s="25">
        <f>+NPV!H94/1000000000</f>
        <v>53.304250530561816</v>
      </c>
      <c r="E150" s="25">
        <f>+NPV!I94/1000000000</f>
        <v>65.321444587980992</v>
      </c>
      <c r="F150" s="25">
        <f>+NPV!J94/1000000000</f>
        <v>86.829444343995192</v>
      </c>
      <c r="G150" s="25">
        <f>+NPV!K94/1000000000</f>
        <v>105.94953727162722</v>
      </c>
      <c r="H150" s="25">
        <f>+NPV!L94/1000000000</f>
        <v>137.53424865384784</v>
      </c>
      <c r="I150" s="25">
        <f>+NPV!M94/1000000000</f>
        <v>67.760765382444433</v>
      </c>
    </row>
    <row r="151" spans="1:13" x14ac:dyDescent="0.25">
      <c r="B151" s="26"/>
      <c r="C151" s="26"/>
      <c r="D151" s="26"/>
      <c r="E151" s="26"/>
      <c r="F151" s="26"/>
      <c r="G151" s="26"/>
    </row>
    <row r="152" spans="1:13" x14ac:dyDescent="0.25">
      <c r="B152" s="26"/>
      <c r="C152" s="26"/>
      <c r="D152" s="26"/>
      <c r="E152" s="26"/>
      <c r="F152" s="26"/>
      <c r="G152" s="26"/>
      <c r="H152" s="26"/>
    </row>
    <row r="153" spans="1:13" x14ac:dyDescent="0.25">
      <c r="A153" s="16" t="s">
        <v>956</v>
      </c>
      <c r="B153" s="26"/>
      <c r="C153" s="26"/>
      <c r="D153" s="26"/>
      <c r="E153" s="26"/>
      <c r="F153" s="26"/>
      <c r="G153" s="26"/>
      <c r="H153" s="26"/>
    </row>
    <row r="154" spans="1:13" ht="18.75" x14ac:dyDescent="0.3">
      <c r="B154" s="33">
        <v>2024</v>
      </c>
      <c r="C154" s="33">
        <v>2025</v>
      </c>
      <c r="D154" s="33">
        <v>2026</v>
      </c>
      <c r="E154" s="33">
        <v>2027</v>
      </c>
      <c r="F154" s="33">
        <v>2028</v>
      </c>
      <c r="G154" s="33">
        <v>2029</v>
      </c>
      <c r="H154" s="33">
        <v>2030</v>
      </c>
      <c r="I154" s="33">
        <v>2031</v>
      </c>
      <c r="J154" s="33">
        <v>2032</v>
      </c>
      <c r="K154" s="33">
        <v>2033</v>
      </c>
      <c r="L154" s="33">
        <v>2034</v>
      </c>
      <c r="M154" s="33">
        <v>2035</v>
      </c>
    </row>
    <row r="155" spans="1:13" x14ac:dyDescent="0.25">
      <c r="A155" s="14" t="s">
        <v>953</v>
      </c>
      <c r="B155" s="25">
        <f>NPV!F100/1000000000</f>
        <v>0.38300000000000001</v>
      </c>
      <c r="C155" s="26">
        <f>NPV!G100/1000000000</f>
        <v>41.252000000000002</v>
      </c>
      <c r="D155" s="26">
        <f>NPV!H100/1000000000</f>
        <v>73.176000000000002</v>
      </c>
      <c r="E155" s="26">
        <f>NPV!I100/1000000000</f>
        <v>105.2</v>
      </c>
      <c r="F155" s="26">
        <f>NPV!J100/1000000000</f>
        <v>158.98699999999999</v>
      </c>
      <c r="G155" s="26">
        <f>NPV!K100/1000000000</f>
        <v>210.87799999999999</v>
      </c>
      <c r="H155" s="26">
        <f>NPV!L100/1000000000</f>
        <v>281.274</v>
      </c>
      <c r="I155" s="26">
        <f>NPV!O100/1000000</f>
        <v>137.15100000000001</v>
      </c>
      <c r="J155" s="26">
        <f>NPV!P100/1000000</f>
        <v>134.6</v>
      </c>
      <c r="K155" s="26">
        <f>NPV!Q100/1000000</f>
        <v>124.806</v>
      </c>
      <c r="L155" s="26">
        <f>NPV!R100/1000000</f>
        <v>113.83199999999999</v>
      </c>
      <c r="M155" s="26">
        <f>NPV!S100/1000000</f>
        <v>86.896000000000001</v>
      </c>
    </row>
    <row r="156" spans="1:13" x14ac:dyDescent="0.25">
      <c r="A156" s="14" t="s">
        <v>954</v>
      </c>
      <c r="B156" s="26">
        <f>NPV!F106/1000000000</f>
        <v>17.762334340062353</v>
      </c>
      <c r="C156" s="26">
        <f>NPV!G106/1000000000</f>
        <v>33.505704375214719</v>
      </c>
      <c r="D156" s="26">
        <f>NPV!H106/1000000000</f>
        <v>66.052528489723343</v>
      </c>
      <c r="E156" s="26">
        <f>NPV!I106/1000000000</f>
        <v>91.792984644551424</v>
      </c>
      <c r="F156" s="26">
        <f>NPV!J106/1000000000</f>
        <v>134.72506651787475</v>
      </c>
      <c r="G156" s="26">
        <f>NPV!K106/1000000000</f>
        <v>184.2185919674755</v>
      </c>
      <c r="H156" s="26">
        <f>NPV!L106/1000000000</f>
        <v>269.45407902054939</v>
      </c>
      <c r="I156" s="26">
        <f>NPV!O106/1000000000</f>
        <v>279.78696446483849</v>
      </c>
      <c r="J156" s="26">
        <f>NPV!P106/1000000000</f>
        <v>290.55647158999932</v>
      </c>
      <c r="K156" s="26">
        <f>NPV!Q106/1000000000</f>
        <v>301.78119963196139</v>
      </c>
      <c r="L156" s="26">
        <f>NPV!R106/1000000000</f>
        <v>313.48055620987526</v>
      </c>
      <c r="M156" s="26">
        <f>NPV!S106/1000000000</f>
        <v>325.67479145100981</v>
      </c>
    </row>
    <row r="157" spans="1:13" x14ac:dyDescent="0.25">
      <c r="B157" s="26"/>
      <c r="C157" s="26"/>
      <c r="D157" s="26"/>
      <c r="E157" s="26"/>
      <c r="F157" s="26"/>
      <c r="G157" s="26"/>
      <c r="H157" s="26"/>
    </row>
    <row r="158" spans="1:13" ht="18.75" x14ac:dyDescent="0.3">
      <c r="A158" s="16" t="s">
        <v>957</v>
      </c>
      <c r="B158" s="33">
        <v>2024</v>
      </c>
      <c r="C158" s="33">
        <v>2025</v>
      </c>
      <c r="D158" s="33">
        <v>2026</v>
      </c>
      <c r="E158" s="33">
        <v>2027</v>
      </c>
      <c r="F158" s="33">
        <v>2028</v>
      </c>
      <c r="G158" s="33">
        <v>2029</v>
      </c>
      <c r="H158" s="33">
        <v>2030</v>
      </c>
      <c r="I158" s="33">
        <v>2031</v>
      </c>
      <c r="J158" s="33">
        <v>2032</v>
      </c>
      <c r="K158" s="33">
        <v>2033</v>
      </c>
      <c r="L158" s="33">
        <v>2034</v>
      </c>
      <c r="M158" s="33">
        <v>2035</v>
      </c>
    </row>
    <row r="159" spans="1:13" x14ac:dyDescent="0.25">
      <c r="A159" s="14" t="s">
        <v>953</v>
      </c>
      <c r="B159" s="54">
        <f>NPV!F85/1000000000</f>
        <v>0.38300000000000001</v>
      </c>
      <c r="C159" s="28">
        <f>NPV!G85/1000000000</f>
        <v>41.252000000000002</v>
      </c>
      <c r="D159" s="28">
        <f>NPV!H85/1000000000</f>
        <v>73.176000000000002</v>
      </c>
      <c r="E159" s="28">
        <f>NPV!I85/1000000000</f>
        <v>105.2</v>
      </c>
      <c r="F159" s="28">
        <f>NPV!J85/1000000000</f>
        <v>158.98699999999999</v>
      </c>
      <c r="G159" s="28">
        <f>NPV!K85/1000000000</f>
        <v>210.87799999999999</v>
      </c>
      <c r="H159" s="28">
        <f>NPV!L85/1000000000</f>
        <v>281.274</v>
      </c>
      <c r="I159" s="28">
        <f>NPV!O85/1000000000</f>
        <v>137.15100000000001</v>
      </c>
      <c r="J159" s="28">
        <f>NPV!P85/1000000000</f>
        <v>134.6</v>
      </c>
      <c r="K159" s="28">
        <f>NPV!Q85/1000000000</f>
        <v>124.806</v>
      </c>
      <c r="L159" s="28">
        <f>NPV!R85/1000000000</f>
        <v>113.83199999999999</v>
      </c>
      <c r="M159" s="28">
        <f>NPV!S85/1000000000</f>
        <v>86.896000000000001</v>
      </c>
    </row>
    <row r="160" spans="1:13" x14ac:dyDescent="0.25">
      <c r="A160" s="14" t="s">
        <v>954</v>
      </c>
      <c r="B160" s="28">
        <f>NPV!F91/1000000000</f>
        <v>17.762334340062353</v>
      </c>
      <c r="C160" s="28">
        <f>NPV!G91/1000000000</f>
        <v>36.493054407414718</v>
      </c>
      <c r="D160" s="28">
        <f>NPV!H91/1000000000</f>
        <v>72.436153732923344</v>
      </c>
      <c r="E160" s="28">
        <f>NPV!I91/1000000000</f>
        <v>98.321199385151431</v>
      </c>
      <c r="F160" s="28">
        <f>NPV!J91/1000000000</f>
        <v>144.76256035007478</v>
      </c>
      <c r="G160" s="28">
        <f>NPV!K91/1000000000</f>
        <v>195.6528348854755</v>
      </c>
      <c r="H160" s="28">
        <f>NPV!L91/1000000000</f>
        <v>281.31687645254942</v>
      </c>
      <c r="I160" s="28">
        <f>NPV!O91/1000000000</f>
        <v>291.73151030211852</v>
      </c>
      <c r="J160" s="28">
        <f>NPV!P91/1000000000</f>
        <v>302.58603576877056</v>
      </c>
      <c r="K160" s="28">
        <f>NPV!Q91/1000000000</f>
        <v>313.89918288588336</v>
      </c>
      <c r="L160" s="28">
        <f>NPV!R91/1000000000</f>
        <v>325.69049530195423</v>
      </c>
      <c r="M160" s="28">
        <f>NPV!S91/1000000000</f>
        <v>337.98036461477187</v>
      </c>
    </row>
    <row r="162" spans="1:10" x14ac:dyDescent="0.25">
      <c r="A162" s="16" t="s">
        <v>964</v>
      </c>
    </row>
    <row r="164" spans="1:10" ht="18.75" x14ac:dyDescent="0.3">
      <c r="B164" s="33">
        <v>2024</v>
      </c>
      <c r="C164" s="33">
        <v>2025</v>
      </c>
      <c r="D164" s="33">
        <v>2026</v>
      </c>
      <c r="E164" s="33">
        <v>2027</v>
      </c>
      <c r="F164" s="33">
        <v>2028</v>
      </c>
      <c r="G164" s="33">
        <v>2029</v>
      </c>
      <c r="H164" s="33">
        <v>2030</v>
      </c>
    </row>
    <row r="165" spans="1:10" x14ac:dyDescent="0.25">
      <c r="A165" s="14" t="s">
        <v>965</v>
      </c>
      <c r="B165" s="173">
        <v>2953000</v>
      </c>
      <c r="C165" s="173">
        <f>ROUND(B165*1.12,-3)</f>
        <v>3307000</v>
      </c>
      <c r="D165" s="173">
        <f t="shared" ref="D165:H165" si="35">ROUND(C165*1.12,-3)</f>
        <v>3704000</v>
      </c>
      <c r="E165" s="173">
        <f t="shared" si="35"/>
        <v>4148000</v>
      </c>
      <c r="F165" s="173">
        <f t="shared" si="35"/>
        <v>4646000</v>
      </c>
      <c r="G165" s="173">
        <f t="shared" si="35"/>
        <v>5204000</v>
      </c>
      <c r="H165" s="173">
        <f t="shared" si="35"/>
        <v>5828000</v>
      </c>
    </row>
    <row r="166" spans="1:10" x14ac:dyDescent="0.25">
      <c r="A166" s="14" t="s">
        <v>966</v>
      </c>
      <c r="B166" s="173">
        <v>22000000</v>
      </c>
      <c r="C166" s="173">
        <f t="shared" ref="C166:H171" si="36">ROUND(B166*1.12,-3)</f>
        <v>24640000</v>
      </c>
      <c r="D166" s="173">
        <f t="shared" si="36"/>
        <v>27597000</v>
      </c>
      <c r="E166" s="173">
        <f t="shared" si="36"/>
        <v>30909000</v>
      </c>
      <c r="F166" s="173">
        <f t="shared" si="36"/>
        <v>34618000</v>
      </c>
      <c r="G166" s="173">
        <f t="shared" si="36"/>
        <v>38772000</v>
      </c>
      <c r="H166" s="173">
        <f t="shared" si="36"/>
        <v>43425000</v>
      </c>
    </row>
    <row r="167" spans="1:10" x14ac:dyDescent="0.25">
      <c r="A167" s="14" t="s">
        <v>967</v>
      </c>
      <c r="B167" s="173">
        <v>18122000</v>
      </c>
      <c r="C167" s="173">
        <f t="shared" si="36"/>
        <v>20297000</v>
      </c>
      <c r="D167" s="173">
        <f t="shared" si="36"/>
        <v>22733000</v>
      </c>
      <c r="E167" s="173">
        <f t="shared" si="36"/>
        <v>25461000</v>
      </c>
      <c r="F167" s="173">
        <f t="shared" si="36"/>
        <v>28516000</v>
      </c>
      <c r="G167" s="173">
        <f t="shared" si="36"/>
        <v>31938000</v>
      </c>
      <c r="H167" s="173">
        <f t="shared" si="36"/>
        <v>35771000</v>
      </c>
    </row>
    <row r="168" spans="1:10" x14ac:dyDescent="0.25">
      <c r="A168" s="14" t="s">
        <v>968</v>
      </c>
      <c r="B168" s="173">
        <v>2073000</v>
      </c>
      <c r="C168" s="173">
        <f t="shared" si="36"/>
        <v>2322000</v>
      </c>
      <c r="D168" s="173">
        <f t="shared" si="36"/>
        <v>2601000</v>
      </c>
      <c r="E168" s="173">
        <f t="shared" si="36"/>
        <v>2913000</v>
      </c>
      <c r="F168" s="173">
        <f t="shared" si="36"/>
        <v>3263000</v>
      </c>
      <c r="G168" s="173">
        <f t="shared" si="36"/>
        <v>3655000</v>
      </c>
      <c r="H168" s="173">
        <f t="shared" si="36"/>
        <v>4094000</v>
      </c>
    </row>
    <row r="169" spans="1:10" x14ac:dyDescent="0.25">
      <c r="A169" s="14" t="s">
        <v>969</v>
      </c>
      <c r="B169" s="173">
        <v>2622000</v>
      </c>
      <c r="C169" s="173">
        <f t="shared" si="36"/>
        <v>2937000</v>
      </c>
      <c r="D169" s="173">
        <f t="shared" si="36"/>
        <v>3289000</v>
      </c>
      <c r="E169" s="173">
        <f t="shared" si="36"/>
        <v>3684000</v>
      </c>
      <c r="F169" s="173">
        <f t="shared" si="36"/>
        <v>4126000</v>
      </c>
      <c r="G169" s="173">
        <f t="shared" si="36"/>
        <v>4621000</v>
      </c>
      <c r="H169" s="173">
        <f t="shared" si="36"/>
        <v>5176000</v>
      </c>
    </row>
    <row r="170" spans="1:10" x14ac:dyDescent="0.25">
      <c r="A170" s="14" t="s">
        <v>970</v>
      </c>
      <c r="B170" s="173">
        <v>4300000</v>
      </c>
      <c r="C170" s="173">
        <f t="shared" si="36"/>
        <v>4816000</v>
      </c>
      <c r="D170" s="173">
        <f t="shared" si="36"/>
        <v>5394000</v>
      </c>
      <c r="E170" s="173">
        <f t="shared" si="36"/>
        <v>6041000</v>
      </c>
      <c r="F170" s="173">
        <f t="shared" si="36"/>
        <v>6766000</v>
      </c>
      <c r="G170" s="173">
        <f t="shared" si="36"/>
        <v>7578000</v>
      </c>
      <c r="H170" s="173">
        <f t="shared" si="36"/>
        <v>8487000</v>
      </c>
    </row>
    <row r="171" spans="1:10" x14ac:dyDescent="0.25">
      <c r="A171" s="14" t="s">
        <v>971</v>
      </c>
      <c r="B171" s="173">
        <v>638000</v>
      </c>
      <c r="C171" s="173">
        <f t="shared" si="36"/>
        <v>715000</v>
      </c>
      <c r="D171" s="173">
        <f t="shared" si="36"/>
        <v>801000</v>
      </c>
      <c r="E171" s="173">
        <f t="shared" si="36"/>
        <v>897000</v>
      </c>
      <c r="F171" s="173">
        <f t="shared" si="36"/>
        <v>1005000</v>
      </c>
      <c r="G171" s="173">
        <f t="shared" si="36"/>
        <v>1126000</v>
      </c>
      <c r="H171" s="173">
        <f t="shared" si="36"/>
        <v>1261000</v>
      </c>
    </row>
    <row r="173" spans="1:10" ht="18.75" x14ac:dyDescent="0.3">
      <c r="B173" s="33">
        <v>2024</v>
      </c>
      <c r="C173" s="33">
        <v>2025</v>
      </c>
      <c r="D173" s="33">
        <v>2026</v>
      </c>
      <c r="E173" s="33">
        <v>2027</v>
      </c>
      <c r="F173" s="33">
        <v>2028</v>
      </c>
      <c r="G173" s="33">
        <v>2029</v>
      </c>
      <c r="H173" s="33">
        <v>2030</v>
      </c>
    </row>
    <row r="174" spans="1:10" x14ac:dyDescent="0.25">
      <c r="A174" s="14" t="s">
        <v>973</v>
      </c>
      <c r="B174" s="15">
        <f t="shared" ref="B174:H174" si="37">SUM(B165:B171)</f>
        <v>52708000</v>
      </c>
      <c r="C174" s="15">
        <f t="shared" si="37"/>
        <v>59034000</v>
      </c>
      <c r="D174" s="15">
        <f t="shared" si="37"/>
        <v>66119000</v>
      </c>
      <c r="E174" s="15">
        <f t="shared" si="37"/>
        <v>74053000</v>
      </c>
      <c r="F174" s="15">
        <f t="shared" si="37"/>
        <v>82940000</v>
      </c>
      <c r="G174" s="15">
        <f t="shared" si="37"/>
        <v>92894000</v>
      </c>
      <c r="H174" s="15">
        <f t="shared" si="37"/>
        <v>104042000</v>
      </c>
      <c r="J174" s="15">
        <f>SUM(B174:H174)</f>
        <v>531790000</v>
      </c>
    </row>
    <row r="175" spans="1:10" x14ac:dyDescent="0.25">
      <c r="A175" s="14" t="s">
        <v>972</v>
      </c>
      <c r="B175" s="54">
        <f>B2</f>
        <v>383000</v>
      </c>
      <c r="C175" s="54">
        <f t="shared" ref="C175:H175" si="38">C2</f>
        <v>41252000</v>
      </c>
      <c r="D175" s="54">
        <f t="shared" si="38"/>
        <v>73176000</v>
      </c>
      <c r="E175" s="54">
        <f t="shared" si="38"/>
        <v>105200000</v>
      </c>
      <c r="F175" s="54">
        <f t="shared" si="38"/>
        <v>158987000</v>
      </c>
      <c r="G175" s="54">
        <f t="shared" si="38"/>
        <v>210878000</v>
      </c>
      <c r="H175" s="54">
        <f t="shared" si="38"/>
        <v>281274000</v>
      </c>
      <c r="J175" s="15">
        <f>SUM(B175:H175)</f>
        <v>871150000</v>
      </c>
    </row>
  </sheetData>
  <mergeCells count="4">
    <mergeCell ref="T66:U66"/>
    <mergeCell ref="T69:U69"/>
    <mergeCell ref="T70:U70"/>
    <mergeCell ref="T73:U7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Strategic level</vt:lpstr>
      <vt:lpstr>StG 1</vt:lpstr>
      <vt:lpstr>StG 2</vt:lpstr>
      <vt:lpstr>StG 3</vt:lpstr>
      <vt:lpstr>StG 4</vt:lpstr>
      <vt:lpstr>StG 5</vt:lpstr>
      <vt:lpstr>Variables</vt:lpstr>
      <vt:lpstr>NPV</vt:lpstr>
      <vt:lpstr>Summary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Tigran Gasparyan</dc:creator>
  <cp:lastModifiedBy>NairaBubushyan</cp:lastModifiedBy>
  <cp:lastPrinted>2023-07-11T13:19:46Z</cp:lastPrinted>
  <dcterms:created xsi:type="dcterms:W3CDTF">2023-06-13T11:02:02Z</dcterms:created>
  <dcterms:modified xsi:type="dcterms:W3CDTF">2025-02-28T12:45:50Z</dcterms:modified>
</cp:coreProperties>
</file>