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240" yWindow="105" windowWidth="14805" windowHeight="8010" activeTab="6"/>
  </bookViews>
  <sheets>
    <sheet name="1" sheetId="1" r:id="rId1"/>
    <sheet name="2" sheetId="2" r:id="rId2"/>
    <sheet name="3" sheetId="3" r:id="rId3"/>
    <sheet name="4" sheetId="4" r:id="rId4"/>
    <sheet name="5" sheetId="6" r:id="rId5"/>
    <sheet name="6" sheetId="7" r:id="rId6"/>
    <sheet name="7" sheetId="8" r:id="rId7"/>
    <sheet name="Հաշվարկ" sheetId="9" r:id="rId8"/>
  </sheets>
  <calcPr calcId="144525"/>
</workbook>
</file>

<file path=xl/calcChain.xml><?xml version="1.0" encoding="utf-8"?>
<calcChain xmlns="http://schemas.openxmlformats.org/spreadsheetml/2006/main">
  <c r="G162" i="8" l="1"/>
  <c r="F163" i="8"/>
  <c r="F164" i="8"/>
  <c r="G124" i="8"/>
  <c r="G15" i="8"/>
  <c r="F105" i="8" l="1"/>
  <c r="F17" i="8" l="1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" i="8"/>
  <c r="A159" i="8"/>
  <c r="A158" i="8"/>
  <c r="D157" i="8"/>
  <c r="D158" i="8" s="1"/>
  <c r="D159" i="8" s="1"/>
  <c r="C157" i="8"/>
  <c r="C158" i="8" s="1"/>
  <c r="C159" i="8" s="1"/>
  <c r="A157" i="8"/>
  <c r="A156" i="8"/>
  <c r="G34" i="6" l="1"/>
  <c r="G31" i="6" s="1"/>
  <c r="E24" i="7" l="1"/>
  <c r="I301" i="9" l="1"/>
  <c r="I302" i="9"/>
  <c r="H300" i="9"/>
  <c r="G302" i="9"/>
  <c r="G301" i="9"/>
  <c r="F301" i="9"/>
  <c r="F300" i="9"/>
  <c r="H301" i="9"/>
  <c r="H302" i="9"/>
  <c r="I297" i="9"/>
  <c r="H297" i="9"/>
  <c r="H296" i="9" s="1"/>
  <c r="G297" i="9"/>
  <c r="G296" i="9" s="1"/>
  <c r="F297" i="9"/>
  <c r="I298" i="9"/>
  <c r="H298" i="9"/>
  <c r="G298" i="9"/>
  <c r="F298" i="9"/>
  <c r="F296" i="9" s="1"/>
  <c r="N192" i="9"/>
  <c r="O192" i="9"/>
  <c r="P192" i="9"/>
  <c r="Q192" i="9"/>
  <c r="Q180" i="9"/>
  <c r="N181" i="9"/>
  <c r="O181" i="9"/>
  <c r="P181" i="9"/>
  <c r="Q181" i="9"/>
  <c r="N183" i="9"/>
  <c r="O183" i="9"/>
  <c r="P183" i="9"/>
  <c r="Q183" i="9"/>
  <c r="N184" i="9"/>
  <c r="O184" i="9"/>
  <c r="P184" i="9"/>
  <c r="Q184" i="9"/>
  <c r="Q185" i="9"/>
  <c r="Q186" i="9"/>
  <c r="Q187" i="9"/>
  <c r="Q189" i="9"/>
  <c r="Q190" i="9"/>
  <c r="Q191" i="9"/>
  <c r="L191" i="9"/>
  <c r="P191" i="9" s="1"/>
  <c r="K191" i="9"/>
  <c r="O191" i="9" s="1"/>
  <c r="J191" i="9"/>
  <c r="N191" i="9" s="1"/>
  <c r="L190" i="9"/>
  <c r="P190" i="9" s="1"/>
  <c r="K190" i="9"/>
  <c r="O190" i="9" s="1"/>
  <c r="J190" i="9"/>
  <c r="N190" i="9" s="1"/>
  <c r="L189" i="9"/>
  <c r="P189" i="9" s="1"/>
  <c r="K189" i="9"/>
  <c r="O189" i="9" s="1"/>
  <c r="J189" i="9"/>
  <c r="N189" i="9" s="1"/>
  <c r="L188" i="9"/>
  <c r="P188" i="9" s="1"/>
  <c r="K188" i="9"/>
  <c r="O188" i="9" s="1"/>
  <c r="J188" i="9"/>
  <c r="N188" i="9" s="1"/>
  <c r="L187" i="9"/>
  <c r="P187" i="9" s="1"/>
  <c r="K187" i="9"/>
  <c r="J187" i="9"/>
  <c r="N187" i="9" s="1"/>
  <c r="L186" i="9"/>
  <c r="P186" i="9" s="1"/>
  <c r="K186" i="9"/>
  <c r="O186" i="9" s="1"/>
  <c r="J186" i="9"/>
  <c r="N186" i="9" s="1"/>
  <c r="L185" i="9"/>
  <c r="P185" i="9" s="1"/>
  <c r="K185" i="9"/>
  <c r="O185" i="9" s="1"/>
  <c r="J185" i="9"/>
  <c r="N185" i="9" s="1"/>
  <c r="L182" i="9"/>
  <c r="P182" i="9" s="1"/>
  <c r="K182" i="9"/>
  <c r="O182" i="9" s="1"/>
  <c r="J182" i="9"/>
  <c r="N182" i="9" s="1"/>
  <c r="L180" i="9"/>
  <c r="P180" i="9" s="1"/>
  <c r="K180" i="9"/>
  <c r="O180" i="9" s="1"/>
  <c r="J180" i="9"/>
  <c r="N180" i="9" s="1"/>
  <c r="M191" i="9"/>
  <c r="M190" i="9"/>
  <c r="M189" i="9"/>
  <c r="M188" i="9"/>
  <c r="Q188" i="9" s="1"/>
  <c r="M187" i="9"/>
  <c r="M186" i="9"/>
  <c r="M185" i="9"/>
  <c r="M182" i="9"/>
  <c r="M179" i="9" s="1"/>
  <c r="M180" i="9"/>
  <c r="N17" i="9"/>
  <c r="O17" i="9"/>
  <c r="P17" i="9"/>
  <c r="Q17" i="9"/>
  <c r="N19" i="9"/>
  <c r="O19" i="9"/>
  <c r="P19" i="9"/>
  <c r="Q19" i="9"/>
  <c r="N23" i="9"/>
  <c r="O23" i="9"/>
  <c r="P23" i="9"/>
  <c r="Q23" i="9"/>
  <c r="O25" i="9"/>
  <c r="N27" i="9"/>
  <c r="O27" i="9"/>
  <c r="P27" i="9"/>
  <c r="Q27" i="9"/>
  <c r="N28" i="9"/>
  <c r="O28" i="9"/>
  <c r="P28" i="9"/>
  <c r="Q28" i="9"/>
  <c r="N29" i="9"/>
  <c r="O29" i="9"/>
  <c r="P29" i="9"/>
  <c r="Q29" i="9"/>
  <c r="N31" i="9"/>
  <c r="O31" i="9"/>
  <c r="P31" i="9"/>
  <c r="Q31" i="9"/>
  <c r="N35" i="9"/>
  <c r="O35" i="9"/>
  <c r="P35" i="9"/>
  <c r="Q35" i="9"/>
  <c r="N36" i="9"/>
  <c r="O36" i="9"/>
  <c r="P36" i="9"/>
  <c r="Q36" i="9"/>
  <c r="N39" i="9"/>
  <c r="O39" i="9"/>
  <c r="P39" i="9"/>
  <c r="Q39" i="9"/>
  <c r="N41" i="9"/>
  <c r="O41" i="9"/>
  <c r="P41" i="9"/>
  <c r="Q41" i="9"/>
  <c r="N43" i="9"/>
  <c r="O43" i="9"/>
  <c r="P43" i="9"/>
  <c r="Q43" i="9"/>
  <c r="N47" i="9"/>
  <c r="O47" i="9"/>
  <c r="P47" i="9"/>
  <c r="Q47" i="9"/>
  <c r="N51" i="9"/>
  <c r="O51" i="9"/>
  <c r="P51" i="9"/>
  <c r="Q51" i="9"/>
  <c r="N53" i="9"/>
  <c r="O53" i="9"/>
  <c r="P53" i="9"/>
  <c r="Q53" i="9"/>
  <c r="N54" i="9"/>
  <c r="O54" i="9"/>
  <c r="P54" i="9"/>
  <c r="Q54" i="9"/>
  <c r="O56" i="9"/>
  <c r="N57" i="9"/>
  <c r="O57" i="9"/>
  <c r="P57" i="9"/>
  <c r="Q57" i="9"/>
  <c r="P62" i="9"/>
  <c r="N64" i="9"/>
  <c r="O64" i="9"/>
  <c r="P64" i="9"/>
  <c r="Q64" i="9"/>
  <c r="N65" i="9"/>
  <c r="O65" i="9"/>
  <c r="P65" i="9"/>
  <c r="Q65" i="9"/>
  <c r="N66" i="9"/>
  <c r="O66" i="9"/>
  <c r="L63" i="9"/>
  <c r="P63" i="9" s="1"/>
  <c r="K63" i="9"/>
  <c r="O63" i="9" s="1"/>
  <c r="J63" i="9"/>
  <c r="N63" i="9" s="1"/>
  <c r="L62" i="9"/>
  <c r="K62" i="9"/>
  <c r="O62" i="9" s="1"/>
  <c r="J62" i="9"/>
  <c r="N62" i="9" s="1"/>
  <c r="L61" i="9"/>
  <c r="P61" i="9" s="1"/>
  <c r="K61" i="9"/>
  <c r="O61" i="9" s="1"/>
  <c r="J61" i="9"/>
  <c r="N61" i="9" s="1"/>
  <c r="L60" i="9"/>
  <c r="P60" i="9" s="1"/>
  <c r="K60" i="9"/>
  <c r="O60" i="9" s="1"/>
  <c r="J60" i="9"/>
  <c r="N60" i="9" s="1"/>
  <c r="L59" i="9"/>
  <c r="P59" i="9" s="1"/>
  <c r="K59" i="9"/>
  <c r="O59" i="9" s="1"/>
  <c r="J59" i="9"/>
  <c r="N59" i="9" s="1"/>
  <c r="L58" i="9"/>
  <c r="P58" i="9" s="1"/>
  <c r="K58" i="9"/>
  <c r="O58" i="9" s="1"/>
  <c r="J58" i="9"/>
  <c r="N58" i="9" s="1"/>
  <c r="L56" i="9"/>
  <c r="P56" i="9" s="1"/>
  <c r="K56" i="9"/>
  <c r="J56" i="9"/>
  <c r="N56" i="9" s="1"/>
  <c r="L55" i="9"/>
  <c r="P55" i="9" s="1"/>
  <c r="K55" i="9"/>
  <c r="O55" i="9" s="1"/>
  <c r="J55" i="9"/>
  <c r="N55" i="9" s="1"/>
  <c r="L52" i="9"/>
  <c r="P52" i="9" s="1"/>
  <c r="K52" i="9"/>
  <c r="J52" i="9"/>
  <c r="N52" i="9" s="1"/>
  <c r="L49" i="9"/>
  <c r="L48" i="9" s="1"/>
  <c r="P48" i="9" s="1"/>
  <c r="K49" i="9"/>
  <c r="O49" i="9" s="1"/>
  <c r="J49" i="9"/>
  <c r="J48" i="9" s="1"/>
  <c r="N48" i="9" s="1"/>
  <c r="L46" i="9"/>
  <c r="P46" i="9" s="1"/>
  <c r="K46" i="9"/>
  <c r="O46" i="9" s="1"/>
  <c r="J46" i="9"/>
  <c r="N46" i="9" s="1"/>
  <c r="L45" i="9"/>
  <c r="L44" i="9" s="1"/>
  <c r="P44" i="9" s="1"/>
  <c r="K45" i="9"/>
  <c r="K44" i="9" s="1"/>
  <c r="O44" i="9" s="1"/>
  <c r="J45" i="9"/>
  <c r="J44" i="9" s="1"/>
  <c r="N44" i="9" s="1"/>
  <c r="L42" i="9"/>
  <c r="P42" i="9" s="1"/>
  <c r="K42" i="9"/>
  <c r="O42" i="9" s="1"/>
  <c r="J42" i="9"/>
  <c r="N42" i="9" s="1"/>
  <c r="L38" i="9"/>
  <c r="L37" i="9" s="1"/>
  <c r="K38" i="9"/>
  <c r="K37" i="9" s="1"/>
  <c r="J38" i="9"/>
  <c r="J37" i="9" s="1"/>
  <c r="L34" i="9"/>
  <c r="K34" i="9"/>
  <c r="J34" i="9"/>
  <c r="L33" i="9"/>
  <c r="L32" i="9" s="1"/>
  <c r="K33" i="9"/>
  <c r="K32" i="9" s="1"/>
  <c r="J33" i="9"/>
  <c r="J32" i="9" s="1"/>
  <c r="L30" i="9"/>
  <c r="P30" i="9" s="1"/>
  <c r="K30" i="9"/>
  <c r="O30" i="9" s="1"/>
  <c r="J30" i="9"/>
  <c r="N30" i="9" s="1"/>
  <c r="L26" i="9"/>
  <c r="P26" i="9" s="1"/>
  <c r="K26" i="9"/>
  <c r="O26" i="9" s="1"/>
  <c r="J26" i="9"/>
  <c r="N26" i="9" s="1"/>
  <c r="L25" i="9"/>
  <c r="P25" i="9" s="1"/>
  <c r="K25" i="9"/>
  <c r="J25" i="9"/>
  <c r="N25" i="9" s="1"/>
  <c r="L24" i="9"/>
  <c r="P24" i="9" s="1"/>
  <c r="K24" i="9"/>
  <c r="O24" i="9" s="1"/>
  <c r="J24" i="9"/>
  <c r="N24" i="9" s="1"/>
  <c r="L22" i="9"/>
  <c r="P22" i="9" s="1"/>
  <c r="K22" i="9"/>
  <c r="O22" i="9" s="1"/>
  <c r="J22" i="9"/>
  <c r="N22" i="9" s="1"/>
  <c r="L21" i="9"/>
  <c r="P21" i="9" s="1"/>
  <c r="K21" i="9"/>
  <c r="O21" i="9" s="1"/>
  <c r="J21" i="9"/>
  <c r="N21" i="9" s="1"/>
  <c r="L20" i="9"/>
  <c r="K20" i="9"/>
  <c r="O20" i="9" s="1"/>
  <c r="J20" i="9"/>
  <c r="M63" i="9"/>
  <c r="Q63" i="9" s="1"/>
  <c r="M62" i="9"/>
  <c r="Q62" i="9" s="1"/>
  <c r="M61" i="9"/>
  <c r="Q61" i="9" s="1"/>
  <c r="M60" i="9"/>
  <c r="Q60" i="9" s="1"/>
  <c r="M59" i="9"/>
  <c r="Q59" i="9" s="1"/>
  <c r="M58" i="9"/>
  <c r="Q58" i="9" s="1"/>
  <c r="M56" i="9"/>
  <c r="M55" i="9"/>
  <c r="Q55" i="9" s="1"/>
  <c r="M52" i="9"/>
  <c r="Q52" i="9" s="1"/>
  <c r="M49" i="9"/>
  <c r="M48" i="9" s="1"/>
  <c r="Q48" i="9" s="1"/>
  <c r="M46" i="9"/>
  <c r="Q46" i="9" s="1"/>
  <c r="M45" i="9"/>
  <c r="Q45" i="9" s="1"/>
  <c r="M44" i="9"/>
  <c r="Q44" i="9" s="1"/>
  <c r="M42" i="9"/>
  <c r="Q42" i="9" s="1"/>
  <c r="M38" i="9"/>
  <c r="Q38" i="9" s="1"/>
  <c r="M34" i="9"/>
  <c r="M33" i="9"/>
  <c r="Q33" i="9" s="1"/>
  <c r="M30" i="9"/>
  <c r="Q30" i="9" s="1"/>
  <c r="M26" i="9"/>
  <c r="Q26" i="9" s="1"/>
  <c r="M25" i="9"/>
  <c r="Q25" i="9" s="1"/>
  <c r="M24" i="9"/>
  <c r="Q24" i="9" s="1"/>
  <c r="M22" i="9"/>
  <c r="Q22" i="9" s="1"/>
  <c r="M21" i="9"/>
  <c r="Q21" i="9" s="1"/>
  <c r="M20" i="9"/>
  <c r="Q20" i="9" s="1"/>
  <c r="H225" i="9"/>
  <c r="G225" i="9"/>
  <c r="F225" i="9"/>
  <c r="I222" i="9"/>
  <c r="H222" i="9"/>
  <c r="G222" i="9"/>
  <c r="F222" i="9"/>
  <c r="I220" i="9"/>
  <c r="H220" i="9"/>
  <c r="G220" i="9"/>
  <c r="F220" i="9"/>
  <c r="I218" i="9"/>
  <c r="I217" i="9" s="1"/>
  <c r="H218" i="9"/>
  <c r="G218" i="9"/>
  <c r="G217" i="9" s="1"/>
  <c r="F218" i="9"/>
  <c r="F217" i="9" s="1"/>
  <c r="I206" i="9"/>
  <c r="H206" i="9"/>
  <c r="H205" i="9" s="1"/>
  <c r="G206" i="9"/>
  <c r="G205" i="9" s="1"/>
  <c r="F206" i="9"/>
  <c r="F205" i="9" s="1"/>
  <c r="F177" i="9" s="1"/>
  <c r="I205" i="9"/>
  <c r="I194" i="9"/>
  <c r="H194" i="9"/>
  <c r="G194" i="9"/>
  <c r="F194" i="9"/>
  <c r="I193" i="9"/>
  <c r="H193" i="9"/>
  <c r="G193" i="9"/>
  <c r="F193" i="9"/>
  <c r="I179" i="9"/>
  <c r="Q179" i="9" s="1"/>
  <c r="H179" i="9"/>
  <c r="G179" i="9"/>
  <c r="F179" i="9"/>
  <c r="I163" i="9"/>
  <c r="H163" i="9"/>
  <c r="G163" i="9"/>
  <c r="G162" i="9" s="1"/>
  <c r="G161" i="9" s="1"/>
  <c r="G160" i="9" s="1"/>
  <c r="G159" i="9" s="1"/>
  <c r="G158" i="9" s="1"/>
  <c r="G157" i="9" s="1"/>
  <c r="G156" i="9" s="1"/>
  <c r="G155" i="9" s="1"/>
  <c r="G154" i="9" s="1"/>
  <c r="G153" i="9" s="1"/>
  <c r="F163" i="9"/>
  <c r="F162" i="9" s="1"/>
  <c r="F161" i="9" s="1"/>
  <c r="F160" i="9" s="1"/>
  <c r="F159" i="9" s="1"/>
  <c r="F158" i="9" s="1"/>
  <c r="F157" i="9" s="1"/>
  <c r="F156" i="9" s="1"/>
  <c r="F155" i="9" s="1"/>
  <c r="F154" i="9" s="1"/>
  <c r="F153" i="9" s="1"/>
  <c r="I161" i="9"/>
  <c r="H155" i="9"/>
  <c r="H154" i="9" s="1"/>
  <c r="H153" i="9" s="1"/>
  <c r="I154" i="9"/>
  <c r="I138" i="9"/>
  <c r="H138" i="9"/>
  <c r="H137" i="9" s="1"/>
  <c r="G138" i="9"/>
  <c r="F138" i="9"/>
  <c r="F137" i="9" s="1"/>
  <c r="I137" i="9"/>
  <c r="G137" i="9"/>
  <c r="I135" i="9"/>
  <c r="H135" i="9"/>
  <c r="G135" i="9"/>
  <c r="F135" i="9"/>
  <c r="I133" i="9"/>
  <c r="H133" i="9"/>
  <c r="G133" i="9"/>
  <c r="F133" i="9"/>
  <c r="I131" i="9"/>
  <c r="H131" i="9"/>
  <c r="H130" i="9" s="1"/>
  <c r="G131" i="9"/>
  <c r="F131" i="9"/>
  <c r="F130" i="9" s="1"/>
  <c r="I130" i="9"/>
  <c r="G130" i="9"/>
  <c r="I128" i="9"/>
  <c r="H128" i="9"/>
  <c r="G128" i="9"/>
  <c r="F128" i="9"/>
  <c r="I126" i="9"/>
  <c r="H126" i="9"/>
  <c r="G126" i="9"/>
  <c r="F126" i="9"/>
  <c r="I124" i="9"/>
  <c r="H124" i="9"/>
  <c r="G124" i="9"/>
  <c r="F124" i="9"/>
  <c r="I122" i="9"/>
  <c r="H122" i="9"/>
  <c r="G122" i="9"/>
  <c r="F122" i="9"/>
  <c r="I119" i="9"/>
  <c r="H119" i="9"/>
  <c r="G119" i="9"/>
  <c r="F119" i="9"/>
  <c r="I111" i="9"/>
  <c r="I110" i="9" s="1"/>
  <c r="H111" i="9"/>
  <c r="H110" i="9" s="1"/>
  <c r="G111" i="9"/>
  <c r="G110" i="9" s="1"/>
  <c r="G109" i="9" s="1"/>
  <c r="F111" i="9"/>
  <c r="F110" i="9" s="1"/>
  <c r="I94" i="9"/>
  <c r="I93" i="9" s="1"/>
  <c r="H94" i="9"/>
  <c r="H93" i="9" s="1"/>
  <c r="G94" i="9"/>
  <c r="G93" i="9" s="1"/>
  <c r="F94" i="9"/>
  <c r="F93" i="9" s="1"/>
  <c r="I91" i="9"/>
  <c r="H91" i="9"/>
  <c r="G91" i="9"/>
  <c r="F91" i="9"/>
  <c r="I89" i="9"/>
  <c r="H89" i="9"/>
  <c r="G89" i="9"/>
  <c r="F89" i="9"/>
  <c r="I87" i="9"/>
  <c r="I86" i="9" s="1"/>
  <c r="H87" i="9"/>
  <c r="H86" i="9" s="1"/>
  <c r="G87" i="9"/>
  <c r="F87" i="9"/>
  <c r="F86" i="9" s="1"/>
  <c r="G86" i="9"/>
  <c r="I84" i="9"/>
  <c r="H84" i="9"/>
  <c r="G84" i="9"/>
  <c r="F84" i="9"/>
  <c r="I82" i="9"/>
  <c r="H82" i="9"/>
  <c r="G82" i="9"/>
  <c r="F82" i="9"/>
  <c r="I80" i="9"/>
  <c r="H80" i="9"/>
  <c r="G80" i="9"/>
  <c r="F80" i="9"/>
  <c r="I77" i="9"/>
  <c r="H77" i="9"/>
  <c r="G77" i="9"/>
  <c r="F77" i="9"/>
  <c r="I69" i="9"/>
  <c r="I68" i="9" s="1"/>
  <c r="H69" i="9"/>
  <c r="H68" i="9" s="1"/>
  <c r="G69" i="9"/>
  <c r="G68" i="9" s="1"/>
  <c r="F69" i="9"/>
  <c r="F68" i="9" s="1"/>
  <c r="I66" i="9"/>
  <c r="I50" i="9" s="1"/>
  <c r="H66" i="9"/>
  <c r="H50" i="9" s="1"/>
  <c r="G50" i="9"/>
  <c r="F50" i="9"/>
  <c r="I40" i="9"/>
  <c r="H40" i="9"/>
  <c r="G40" i="9"/>
  <c r="F40" i="9"/>
  <c r="H38" i="9"/>
  <c r="P38" i="9" s="1"/>
  <c r="G38" i="9"/>
  <c r="F38" i="9"/>
  <c r="I37" i="9"/>
  <c r="H37" i="9"/>
  <c r="P37" i="9" s="1"/>
  <c r="G37" i="9"/>
  <c r="F37" i="9"/>
  <c r="I34" i="9"/>
  <c r="Q34" i="9" s="1"/>
  <c r="H34" i="9"/>
  <c r="P34" i="9" s="1"/>
  <c r="G34" i="9"/>
  <c r="O34" i="9" s="1"/>
  <c r="F34" i="9"/>
  <c r="N34" i="9" s="1"/>
  <c r="I32" i="9"/>
  <c r="H32" i="9"/>
  <c r="G32" i="9"/>
  <c r="O32" i="9" s="1"/>
  <c r="F32" i="9"/>
  <c r="N32" i="9" s="1"/>
  <c r="I18" i="9"/>
  <c r="I16" i="9" s="1"/>
  <c r="H18" i="9"/>
  <c r="G18" i="9"/>
  <c r="F18" i="9"/>
  <c r="G16" i="9"/>
  <c r="G15" i="9" s="1"/>
  <c r="F17" i="2"/>
  <c r="F18" i="2"/>
  <c r="F14" i="2"/>
  <c r="F15" i="2"/>
  <c r="F13" i="2"/>
  <c r="F12" i="2"/>
  <c r="I13" i="2"/>
  <c r="G13" i="2"/>
  <c r="H13" i="2"/>
  <c r="H15" i="2"/>
  <c r="I15" i="2"/>
  <c r="F179" i="2"/>
  <c r="F181" i="2"/>
  <c r="I179" i="2"/>
  <c r="H179" i="2"/>
  <c r="H181" i="2"/>
  <c r="G15" i="2"/>
  <c r="H207" i="2"/>
  <c r="H18" i="2"/>
  <c r="I300" i="9" l="1"/>
  <c r="G300" i="9"/>
  <c r="I296" i="9"/>
  <c r="M37" i="9"/>
  <c r="Q37" i="9" s="1"/>
  <c r="P49" i="9"/>
  <c r="J179" i="9"/>
  <c r="N179" i="9" s="1"/>
  <c r="Q182" i="9"/>
  <c r="N37" i="9"/>
  <c r="L179" i="9"/>
  <c r="P179" i="9" s="1"/>
  <c r="K179" i="9"/>
  <c r="O179" i="9" s="1"/>
  <c r="O187" i="9"/>
  <c r="N38" i="9"/>
  <c r="N33" i="9"/>
  <c r="G67" i="9"/>
  <c r="G13" i="9" s="1"/>
  <c r="O37" i="9"/>
  <c r="H67" i="9"/>
  <c r="I109" i="9"/>
  <c r="P32" i="9"/>
  <c r="I67" i="9"/>
  <c r="F109" i="9"/>
  <c r="I153" i="9"/>
  <c r="G177" i="9"/>
  <c r="I177" i="9"/>
  <c r="L18" i="9"/>
  <c r="P18" i="9" s="1"/>
  <c r="P66" i="9"/>
  <c r="P45" i="9"/>
  <c r="O45" i="9"/>
  <c r="K50" i="9"/>
  <c r="O50" i="9" s="1"/>
  <c r="O38" i="9"/>
  <c r="H109" i="9"/>
  <c r="H16" i="9"/>
  <c r="H15" i="9" s="1"/>
  <c r="F16" i="9"/>
  <c r="H217" i="9"/>
  <c r="H177" i="9" s="1"/>
  <c r="M32" i="9"/>
  <c r="Q32" i="9" s="1"/>
  <c r="M50" i="9"/>
  <c r="Q50" i="9" s="1"/>
  <c r="K18" i="9"/>
  <c r="K16" i="9" s="1"/>
  <c r="O16" i="9" s="1"/>
  <c r="L40" i="9"/>
  <c r="K48" i="9"/>
  <c r="O48" i="9" s="1"/>
  <c r="J50" i="9"/>
  <c r="N50" i="9" s="1"/>
  <c r="Q66" i="9"/>
  <c r="Q56" i="9"/>
  <c r="Q49" i="9"/>
  <c r="Q18" i="9"/>
  <c r="P40" i="9"/>
  <c r="P33" i="9"/>
  <c r="P20" i="9"/>
  <c r="I15" i="9"/>
  <c r="L50" i="9"/>
  <c r="P50" i="9" s="1"/>
  <c r="O52" i="9"/>
  <c r="O33" i="9"/>
  <c r="F67" i="9"/>
  <c r="M18" i="9"/>
  <c r="J18" i="9"/>
  <c r="N18" i="9" s="1"/>
  <c r="N49" i="9"/>
  <c r="N45" i="9"/>
  <c r="N20" i="9"/>
  <c r="J40" i="9"/>
  <c r="N40" i="9" s="1"/>
  <c r="M40" i="9"/>
  <c r="Q40" i="9" s="1"/>
  <c r="F14" i="3"/>
  <c r="F35" i="3"/>
  <c r="F40" i="2"/>
  <c r="F48" i="3"/>
  <c r="H36" i="3"/>
  <c r="G36" i="3"/>
  <c r="G35" i="3" s="1"/>
  <c r="F36" i="3"/>
  <c r="G16" i="3"/>
  <c r="H16" i="3"/>
  <c r="I16" i="3"/>
  <c r="F16" i="3"/>
  <c r="G38" i="3"/>
  <c r="H38" i="3"/>
  <c r="I38" i="3"/>
  <c r="F38" i="3"/>
  <c r="H35" i="3"/>
  <c r="I35" i="3"/>
  <c r="G32" i="3"/>
  <c r="H32" i="3"/>
  <c r="I32" i="3"/>
  <c r="F32" i="3"/>
  <c r="G30" i="3"/>
  <c r="H30" i="3"/>
  <c r="I30" i="3"/>
  <c r="F30" i="3"/>
  <c r="I64" i="3"/>
  <c r="H64" i="3"/>
  <c r="H68" i="2"/>
  <c r="H140" i="2"/>
  <c r="L16" i="9" l="1"/>
  <c r="P16" i="9" s="1"/>
  <c r="G9" i="9"/>
  <c r="G8" i="9" s="1"/>
  <c r="M16" i="9"/>
  <c r="J16" i="9"/>
  <c r="J15" i="9" s="1"/>
  <c r="K40" i="9"/>
  <c r="O40" i="9" s="1"/>
  <c r="L15" i="9"/>
  <c r="P15" i="9" s="1"/>
  <c r="I13" i="9"/>
  <c r="I9" i="9" s="1"/>
  <c r="I8" i="9" s="1"/>
  <c r="H13" i="9"/>
  <c r="H9" i="9" s="1"/>
  <c r="H8" i="9" s="1"/>
  <c r="O18" i="9"/>
  <c r="F15" i="9"/>
  <c r="H66" i="3"/>
  <c r="G66" i="3"/>
  <c r="F66" i="3"/>
  <c r="H48" i="3"/>
  <c r="I48" i="3"/>
  <c r="G48" i="3"/>
  <c r="G41" i="1"/>
  <c r="G39" i="1" s="1"/>
  <c r="G37" i="1" s="1"/>
  <c r="H41" i="1"/>
  <c r="F41" i="1"/>
  <c r="F39" i="1" s="1"/>
  <c r="F37" i="1" s="1"/>
  <c r="H39" i="1"/>
  <c r="H37" i="1" s="1"/>
  <c r="E39" i="1"/>
  <c r="E37" i="1" s="1"/>
  <c r="K15" i="9" l="1"/>
  <c r="O15" i="9" s="1"/>
  <c r="Q16" i="9"/>
  <c r="M15" i="9"/>
  <c r="Q15" i="9" s="1"/>
  <c r="N16" i="9"/>
  <c r="N15" i="9"/>
  <c r="F13" i="9"/>
  <c r="F9" i="9" s="1"/>
  <c r="F8" i="9" s="1"/>
  <c r="F10" i="4"/>
  <c r="G10" i="4"/>
  <c r="G9" i="4" s="1"/>
  <c r="H10" i="4"/>
  <c r="H9" i="4" s="1"/>
  <c r="I10" i="4"/>
  <c r="J10" i="4"/>
  <c r="K10" i="4"/>
  <c r="K9" i="4" s="1"/>
  <c r="L10" i="4"/>
  <c r="L9" i="4" s="1"/>
  <c r="M10" i="4"/>
  <c r="N10" i="4"/>
  <c r="O10" i="4"/>
  <c r="O9" i="4" s="1"/>
  <c r="P10" i="4"/>
  <c r="P9" i="4" s="1"/>
  <c r="F9" i="4"/>
  <c r="I9" i="4"/>
  <c r="J9" i="4"/>
  <c r="M9" i="4"/>
  <c r="N9" i="4"/>
  <c r="E10" i="4"/>
  <c r="P11" i="4"/>
  <c r="O11" i="4"/>
  <c r="N11" i="4"/>
  <c r="M11" i="4"/>
  <c r="L11" i="4"/>
  <c r="K11" i="4"/>
  <c r="J11" i="4"/>
  <c r="I11" i="4"/>
  <c r="H11" i="4"/>
  <c r="G11" i="4"/>
  <c r="F11" i="4"/>
  <c r="E11" i="4"/>
  <c r="N22" i="4" l="1"/>
  <c r="N21" i="4"/>
  <c r="N19" i="4"/>
  <c r="N18" i="4"/>
  <c r="N17" i="4" s="1"/>
  <c r="P17" i="4"/>
  <c r="O17" i="4"/>
  <c r="N16" i="4"/>
  <c r="N15" i="4" s="1"/>
  <c r="N13" i="4" s="1"/>
  <c r="N12" i="4" s="1"/>
  <c r="P15" i="4"/>
  <c r="P13" i="4" s="1"/>
  <c r="P12" i="4" s="1"/>
  <c r="O15" i="4"/>
  <c r="O13" i="4" s="1"/>
  <c r="O12" i="4" s="1"/>
  <c r="K22" i="4"/>
  <c r="K21" i="4"/>
  <c r="K19" i="4"/>
  <c r="K18" i="4"/>
  <c r="K17" i="4" s="1"/>
  <c r="M17" i="4"/>
  <c r="L17" i="4"/>
  <c r="K16" i="4"/>
  <c r="K15" i="4" s="1"/>
  <c r="K13" i="4" s="1"/>
  <c r="K12" i="4" s="1"/>
  <c r="M15" i="4"/>
  <c r="M13" i="4" s="1"/>
  <c r="M12" i="4" s="1"/>
  <c r="L15" i="4"/>
  <c r="L13" i="4" s="1"/>
  <c r="L12" i="4" s="1"/>
  <c r="H22" i="4"/>
  <c r="H21" i="4"/>
  <c r="H19" i="4"/>
  <c r="H18" i="4"/>
  <c r="H17" i="4" s="1"/>
  <c r="J17" i="4"/>
  <c r="I17" i="4"/>
  <c r="H16" i="4"/>
  <c r="H15" i="4" s="1"/>
  <c r="H13" i="4" s="1"/>
  <c r="H12" i="4" s="1"/>
  <c r="J15" i="4"/>
  <c r="J13" i="4" s="1"/>
  <c r="J12" i="4" s="1"/>
  <c r="I15" i="4"/>
  <c r="I13" i="4" s="1"/>
  <c r="I12" i="4" s="1"/>
  <c r="F17" i="4"/>
  <c r="G17" i="4"/>
  <c r="E18" i="4"/>
  <c r="E17" i="4" s="1"/>
  <c r="E19" i="4"/>
  <c r="E21" i="4"/>
  <c r="E22" i="4"/>
  <c r="F15" i="4"/>
  <c r="F13" i="4" s="1"/>
  <c r="F12" i="4" s="1"/>
  <c r="G15" i="4"/>
  <c r="G13" i="4" s="1"/>
  <c r="G12" i="4" s="1"/>
  <c r="E16" i="4"/>
  <c r="E15" i="4" s="1"/>
  <c r="E13" i="4" s="1"/>
  <c r="E12" i="4" s="1"/>
  <c r="F27" i="1" l="1"/>
  <c r="G27" i="1"/>
  <c r="H27" i="1"/>
  <c r="E27" i="1"/>
  <c r="F34" i="1"/>
  <c r="F32" i="1" s="1"/>
  <c r="G34" i="1"/>
  <c r="G32" i="1" s="1"/>
  <c r="H34" i="1"/>
  <c r="H32" i="1" s="1"/>
  <c r="E34" i="1"/>
  <c r="E32" i="1" s="1"/>
  <c r="H29" i="1"/>
  <c r="G29" i="1"/>
  <c r="F29" i="1"/>
  <c r="E29" i="1"/>
  <c r="F191" i="3" l="1"/>
  <c r="I192" i="3"/>
  <c r="I191" i="3" s="1"/>
  <c r="H192" i="3"/>
  <c r="H191" i="3" s="1"/>
  <c r="G192" i="3"/>
  <c r="F192" i="3"/>
  <c r="G191" i="3"/>
  <c r="F203" i="3"/>
  <c r="F175" i="3" s="1"/>
  <c r="G203" i="3"/>
  <c r="G175" i="3" s="1"/>
  <c r="H203" i="3"/>
  <c r="I203" i="3"/>
  <c r="F177" i="3"/>
  <c r="G177" i="3"/>
  <c r="H177" i="3"/>
  <c r="I177" i="3"/>
  <c r="G14" i="3"/>
  <c r="G13" i="3" s="1"/>
  <c r="G11" i="3" s="1"/>
  <c r="G9" i="3" s="1"/>
  <c r="H14" i="3"/>
  <c r="H13" i="3" s="1"/>
  <c r="H11" i="3" s="1"/>
  <c r="I14" i="3"/>
  <c r="I13" i="3" s="1"/>
  <c r="I11" i="3" s="1"/>
  <c r="F13" i="3"/>
  <c r="F11" i="3" s="1"/>
  <c r="F9" i="3" s="1"/>
  <c r="E9" i="4" l="1"/>
  <c r="E25" i="1"/>
  <c r="F18" i="1"/>
  <c r="G18" i="1" l="1"/>
  <c r="H18" i="1"/>
  <c r="F24" i="1" l="1"/>
  <c r="F22" i="1" s="1"/>
  <c r="G24" i="1"/>
  <c r="G22" i="1" s="1"/>
  <c r="H24" i="1"/>
  <c r="H22" i="1" s="1"/>
  <c r="E24" i="1"/>
  <c r="E22" i="1" s="1"/>
  <c r="F16" i="1"/>
  <c r="G16" i="1"/>
  <c r="G14" i="1" s="1"/>
  <c r="H16" i="1"/>
  <c r="H14" i="1" s="1"/>
  <c r="H220" i="3"/>
  <c r="H218" i="3"/>
  <c r="H216" i="3"/>
  <c r="H161" i="3"/>
  <c r="H153" i="3"/>
  <c r="H152" i="3" s="1"/>
  <c r="I152" i="3"/>
  <c r="I161" i="3"/>
  <c r="I57" i="2"/>
  <c r="I58" i="2"/>
  <c r="I60" i="2"/>
  <c r="I61" i="2"/>
  <c r="I62" i="2"/>
  <c r="I63" i="2"/>
  <c r="I65" i="2"/>
  <c r="F14" i="1" l="1"/>
  <c r="G12" i="1"/>
  <c r="G10" i="1" s="1"/>
  <c r="G8" i="1" s="1"/>
  <c r="F12" i="1"/>
  <c r="F10" i="1" s="1"/>
  <c r="F8" i="1" s="1"/>
  <c r="H12" i="1"/>
  <c r="H10" i="1" s="1"/>
  <c r="H8" i="1" s="1"/>
  <c r="H151" i="3"/>
  <c r="G223" i="3"/>
  <c r="H223" i="3"/>
  <c r="F223" i="3"/>
  <c r="G220" i="3"/>
  <c r="I220" i="3"/>
  <c r="F220" i="3"/>
  <c r="G218" i="3"/>
  <c r="I218" i="3"/>
  <c r="F218" i="3"/>
  <c r="G216" i="3"/>
  <c r="I216" i="3"/>
  <c r="F216" i="3"/>
  <c r="G204" i="3"/>
  <c r="H204" i="3"/>
  <c r="I204" i="3"/>
  <c r="F204" i="3"/>
  <c r="I159" i="3"/>
  <c r="I151" i="3" s="1"/>
  <c r="G136" i="3"/>
  <c r="H136" i="3"/>
  <c r="H135" i="3" s="1"/>
  <c r="I136" i="3"/>
  <c r="I135" i="3" s="1"/>
  <c r="F136" i="3"/>
  <c r="F135" i="3" s="1"/>
  <c r="G135" i="3"/>
  <c r="G133" i="3"/>
  <c r="H133" i="3"/>
  <c r="I133" i="3"/>
  <c r="F133" i="3"/>
  <c r="G131" i="3"/>
  <c r="H131" i="3"/>
  <c r="I131" i="3"/>
  <c r="F131" i="3"/>
  <c r="G129" i="3"/>
  <c r="H129" i="3"/>
  <c r="I129" i="3"/>
  <c r="F129" i="3"/>
  <c r="F128" i="3" s="1"/>
  <c r="G128" i="3"/>
  <c r="G126" i="3"/>
  <c r="H126" i="3"/>
  <c r="I126" i="3"/>
  <c r="F126" i="3"/>
  <c r="G124" i="3"/>
  <c r="H124" i="3"/>
  <c r="I124" i="3"/>
  <c r="F124" i="3"/>
  <c r="G122" i="3"/>
  <c r="H122" i="3"/>
  <c r="I122" i="3"/>
  <c r="F122" i="3"/>
  <c r="G120" i="3"/>
  <c r="H120" i="3"/>
  <c r="I120" i="3"/>
  <c r="F120" i="3"/>
  <c r="G117" i="3"/>
  <c r="H117" i="3"/>
  <c r="I117" i="3"/>
  <c r="F117" i="3"/>
  <c r="G109" i="3"/>
  <c r="H109" i="3"/>
  <c r="I109" i="3"/>
  <c r="F109" i="3"/>
  <c r="G92" i="3"/>
  <c r="G91" i="3" s="1"/>
  <c r="H92" i="3"/>
  <c r="H91" i="3" s="1"/>
  <c r="I92" i="3"/>
  <c r="I91" i="3" s="1"/>
  <c r="F92" i="3"/>
  <c r="F91" i="3" s="1"/>
  <c r="G89" i="3"/>
  <c r="H89" i="3"/>
  <c r="I89" i="3"/>
  <c r="F89" i="3"/>
  <c r="G87" i="3"/>
  <c r="H87" i="3"/>
  <c r="I87" i="3"/>
  <c r="F87" i="3"/>
  <c r="G85" i="3"/>
  <c r="H85" i="3"/>
  <c r="I85" i="3"/>
  <c r="I84" i="3" s="1"/>
  <c r="F85" i="3"/>
  <c r="F84" i="3" s="1"/>
  <c r="G82" i="3"/>
  <c r="H82" i="3"/>
  <c r="I82" i="3"/>
  <c r="F82" i="3"/>
  <c r="G80" i="3"/>
  <c r="H80" i="3"/>
  <c r="I80" i="3"/>
  <c r="F80" i="3"/>
  <c r="G78" i="3"/>
  <c r="H78" i="3"/>
  <c r="I78" i="3"/>
  <c r="F78" i="3"/>
  <c r="G75" i="3"/>
  <c r="H75" i="3"/>
  <c r="I75" i="3"/>
  <c r="F75" i="3"/>
  <c r="G67" i="3"/>
  <c r="H67" i="3"/>
  <c r="I67" i="3"/>
  <c r="F67" i="3"/>
  <c r="I66" i="3" l="1"/>
  <c r="I65" i="3" s="1"/>
  <c r="F215" i="3"/>
  <c r="G215" i="3"/>
  <c r="I108" i="3"/>
  <c r="I128" i="3"/>
  <c r="I215" i="3"/>
  <c r="I175" i="3" s="1"/>
  <c r="I9" i="3" s="1"/>
  <c r="G108" i="3"/>
  <c r="G107" i="3" s="1"/>
  <c r="G84" i="3"/>
  <c r="G65" i="3" s="1"/>
  <c r="F65" i="3"/>
  <c r="H215" i="3"/>
  <c r="H175" i="3" s="1"/>
  <c r="H9" i="3" s="1"/>
  <c r="H128" i="3"/>
  <c r="F108" i="3"/>
  <c r="F107" i="3" s="1"/>
  <c r="H108" i="3"/>
  <c r="H84" i="3"/>
  <c r="I64" i="2"/>
  <c r="I193" i="2"/>
  <c r="I192" i="2"/>
  <c r="I191" i="2"/>
  <c r="I190" i="2"/>
  <c r="I189" i="2"/>
  <c r="I188" i="2"/>
  <c r="I187" i="2"/>
  <c r="H186" i="2"/>
  <c r="H185" i="2"/>
  <c r="G181" i="2"/>
  <c r="J181" i="2"/>
  <c r="G182" i="2"/>
  <c r="H182" i="2"/>
  <c r="I182" i="2"/>
  <c r="J182" i="2"/>
  <c r="F183" i="2"/>
  <c r="F182" i="2"/>
  <c r="H55" i="2"/>
  <c r="I51" i="2"/>
  <c r="G48" i="2"/>
  <c r="H48" i="2"/>
  <c r="I48" i="2"/>
  <c r="J48" i="2"/>
  <c r="F49" i="2"/>
  <c r="F48" i="2" s="1"/>
  <c r="I47" i="2"/>
  <c r="H45" i="2"/>
  <c r="I40" i="2"/>
  <c r="I35" i="2"/>
  <c r="H33" i="2"/>
  <c r="F31" i="2"/>
  <c r="F30" i="2"/>
  <c r="I28" i="2"/>
  <c r="G28" i="2"/>
  <c r="H28" i="2"/>
  <c r="G161" i="3" l="1"/>
  <c r="G160" i="3" s="1"/>
  <c r="G159" i="3" s="1"/>
  <c r="G158" i="3" s="1"/>
  <c r="G157" i="3" s="1"/>
  <c r="G156" i="3" s="1"/>
  <c r="G155" i="3" s="1"/>
  <c r="G154" i="3" s="1"/>
  <c r="G153" i="3" s="1"/>
  <c r="G152" i="3" s="1"/>
  <c r="G151" i="3" s="1"/>
  <c r="I107" i="3"/>
  <c r="H107" i="3"/>
  <c r="H65" i="3"/>
  <c r="I181" i="2"/>
  <c r="F161" i="3" l="1"/>
  <c r="F160" i="3" s="1"/>
  <c r="F159" i="3" s="1"/>
  <c r="F158" i="3" s="1"/>
  <c r="F157" i="3" s="1"/>
  <c r="F156" i="3" s="1"/>
  <c r="F155" i="3" s="1"/>
  <c r="F154" i="3" s="1"/>
  <c r="F153" i="3" s="1"/>
  <c r="F152" i="3" s="1"/>
  <c r="F151" i="3" s="1"/>
  <c r="F8" i="3"/>
  <c r="G8" i="3"/>
  <c r="I8" i="3"/>
  <c r="J12" i="2"/>
  <c r="I27" i="2"/>
  <c r="I26" i="2"/>
  <c r="I24" i="2"/>
  <c r="I23" i="2"/>
  <c r="I22" i="2"/>
  <c r="H21" i="2"/>
  <c r="H8" i="3" l="1"/>
  <c r="F21" i="2"/>
  <c r="J18" i="2"/>
  <c r="I159" i="2"/>
  <c r="J159" i="2"/>
  <c r="H224" i="2"/>
  <c r="I224" i="2"/>
  <c r="J224" i="2"/>
  <c r="H222" i="2"/>
  <c r="I222" i="2"/>
  <c r="J222" i="2"/>
  <c r="H220" i="2"/>
  <c r="I220" i="2"/>
  <c r="J220" i="2"/>
  <c r="H208" i="2"/>
  <c r="I208" i="2"/>
  <c r="I207" i="2" s="1"/>
  <c r="J208" i="2"/>
  <c r="J207" i="2" s="1"/>
  <c r="H196" i="2"/>
  <c r="H195" i="2" s="1"/>
  <c r="I196" i="2"/>
  <c r="I195" i="2" s="1"/>
  <c r="J196" i="2"/>
  <c r="J195" i="2" s="1"/>
  <c r="H184" i="2"/>
  <c r="I184" i="2"/>
  <c r="J184" i="2"/>
  <c r="G165" i="2"/>
  <c r="H165" i="2"/>
  <c r="I165" i="2"/>
  <c r="J156" i="2"/>
  <c r="J155" i="2" s="1"/>
  <c r="H139" i="2"/>
  <c r="I140" i="2"/>
  <c r="I139" i="2" s="1"/>
  <c r="J140" i="2"/>
  <c r="J139" i="2" s="1"/>
  <c r="H137" i="2"/>
  <c r="I137" i="2"/>
  <c r="J137" i="2"/>
  <c r="H135" i="2"/>
  <c r="I135" i="2"/>
  <c r="J135" i="2"/>
  <c r="H133" i="2"/>
  <c r="I133" i="2"/>
  <c r="J133" i="2"/>
  <c r="H130" i="2"/>
  <c r="I130" i="2"/>
  <c r="J130" i="2"/>
  <c r="H128" i="2"/>
  <c r="I128" i="2"/>
  <c r="J128" i="2"/>
  <c r="H126" i="2"/>
  <c r="I126" i="2"/>
  <c r="J126" i="2"/>
  <c r="H124" i="2"/>
  <c r="I124" i="2"/>
  <c r="J124" i="2"/>
  <c r="H121" i="2"/>
  <c r="I121" i="2"/>
  <c r="J121" i="2"/>
  <c r="H113" i="2"/>
  <c r="I113" i="2"/>
  <c r="J113" i="2"/>
  <c r="H96" i="2"/>
  <c r="H95" i="2" s="1"/>
  <c r="I96" i="2"/>
  <c r="I95" i="2" s="1"/>
  <c r="J96" i="2"/>
  <c r="J95" i="2" s="1"/>
  <c r="H93" i="2"/>
  <c r="I93" i="2"/>
  <c r="J93" i="2"/>
  <c r="H91" i="2"/>
  <c r="I91" i="2"/>
  <c r="J91" i="2"/>
  <c r="H89" i="2"/>
  <c r="I89" i="2"/>
  <c r="J89" i="2"/>
  <c r="H86" i="2"/>
  <c r="I86" i="2"/>
  <c r="J86" i="2"/>
  <c r="I84" i="2"/>
  <c r="J84" i="2"/>
  <c r="H82" i="2"/>
  <c r="I82" i="2"/>
  <c r="J82" i="2"/>
  <c r="H79" i="2"/>
  <c r="I79" i="2"/>
  <c r="J79" i="2"/>
  <c r="H71" i="2"/>
  <c r="G71" i="2"/>
  <c r="I71" i="2"/>
  <c r="J71" i="2"/>
  <c r="H39" i="2"/>
  <c r="G113" i="2"/>
  <c r="F26" i="2"/>
  <c r="F229" i="2"/>
  <c r="F227" i="2" s="1"/>
  <c r="I227" i="2"/>
  <c r="H227" i="2"/>
  <c r="G227" i="2"/>
  <c r="F225" i="2"/>
  <c r="F224" i="2" s="1"/>
  <c r="G224" i="2"/>
  <c r="F223" i="2"/>
  <c r="F222" i="2" s="1"/>
  <c r="G222" i="2"/>
  <c r="G220" i="2"/>
  <c r="F220" i="2"/>
  <c r="F218" i="2"/>
  <c r="F217" i="2"/>
  <c r="F216" i="2"/>
  <c r="F215" i="2"/>
  <c r="F214" i="2"/>
  <c r="F213" i="2"/>
  <c r="F212" i="2"/>
  <c r="F211" i="2"/>
  <c r="F210" i="2"/>
  <c r="F209" i="2"/>
  <c r="G208" i="2"/>
  <c r="G207" i="2" s="1"/>
  <c r="F206" i="2"/>
  <c r="F205" i="2"/>
  <c r="F204" i="2"/>
  <c r="F203" i="2"/>
  <c r="F202" i="2"/>
  <c r="F201" i="2"/>
  <c r="F200" i="2"/>
  <c r="F199" i="2"/>
  <c r="F198" i="2"/>
  <c r="F197" i="2"/>
  <c r="F196" i="2" s="1"/>
  <c r="G196" i="2"/>
  <c r="G195" i="2" s="1"/>
  <c r="F194" i="2"/>
  <c r="F193" i="2"/>
  <c r="F192" i="2"/>
  <c r="F191" i="2"/>
  <c r="F190" i="2"/>
  <c r="F189" i="2"/>
  <c r="F188" i="2"/>
  <c r="F187" i="2"/>
  <c r="F186" i="2"/>
  <c r="F185" i="2"/>
  <c r="G184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4" i="2"/>
  <c r="G163" i="2"/>
  <c r="F162" i="2"/>
  <c r="F161" i="2"/>
  <c r="F160" i="2"/>
  <c r="F158" i="2"/>
  <c r="F157" i="2" s="1"/>
  <c r="G157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G140" i="2"/>
  <c r="G139" i="2" s="1"/>
  <c r="F138" i="2"/>
  <c r="G137" i="2"/>
  <c r="F136" i="2"/>
  <c r="G135" i="2"/>
  <c r="F134" i="2"/>
  <c r="G133" i="2"/>
  <c r="F131" i="2"/>
  <c r="G130" i="2"/>
  <c r="F129" i="2"/>
  <c r="G128" i="2"/>
  <c r="F127" i="2"/>
  <c r="G126" i="2"/>
  <c r="F125" i="2"/>
  <c r="G124" i="2"/>
  <c r="F123" i="2"/>
  <c r="F122" i="2"/>
  <c r="G121" i="2"/>
  <c r="F120" i="2"/>
  <c r="F119" i="2"/>
  <c r="F118" i="2"/>
  <c r="F117" i="2"/>
  <c r="F116" i="2"/>
  <c r="F115" i="2"/>
  <c r="F114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 s="1"/>
  <c r="G96" i="2"/>
  <c r="G95" i="2" s="1"/>
  <c r="F94" i="2"/>
  <c r="F93" i="2" s="1"/>
  <c r="G93" i="2"/>
  <c r="F92" i="2"/>
  <c r="F91" i="2" s="1"/>
  <c r="G91" i="2"/>
  <c r="F90" i="2"/>
  <c r="F89" i="2" s="1"/>
  <c r="G89" i="2"/>
  <c r="F87" i="2"/>
  <c r="F86" i="2" s="1"/>
  <c r="G86" i="2"/>
  <c r="F85" i="2"/>
  <c r="F84" i="2" s="1"/>
  <c r="G84" i="2"/>
  <c r="F83" i="2"/>
  <c r="F82" i="2" s="1"/>
  <c r="G82" i="2"/>
  <c r="F81" i="2"/>
  <c r="F80" i="2"/>
  <c r="G79" i="2"/>
  <c r="F78" i="2"/>
  <c r="F77" i="2"/>
  <c r="F76" i="2"/>
  <c r="F75" i="2"/>
  <c r="F74" i="2"/>
  <c r="F73" i="2"/>
  <c r="F72" i="2"/>
  <c r="F68" i="2"/>
  <c r="F52" i="2" s="1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 s="1"/>
  <c r="I54" i="2"/>
  <c r="I52" i="2" s="1"/>
  <c r="G54" i="2"/>
  <c r="G52" i="2" s="1"/>
  <c r="I50" i="2"/>
  <c r="H50" i="2"/>
  <c r="G50" i="2"/>
  <c r="F47" i="2"/>
  <c r="F46" i="2" s="1"/>
  <c r="H46" i="2"/>
  <c r="G46" i="2"/>
  <c r="H44" i="2"/>
  <c r="H42" i="2" s="1"/>
  <c r="F45" i="2"/>
  <c r="F44" i="2" s="1"/>
  <c r="I44" i="2"/>
  <c r="G44" i="2"/>
  <c r="F41" i="2"/>
  <c r="I39" i="2"/>
  <c r="G39" i="2"/>
  <c r="F38" i="2"/>
  <c r="F37" i="2"/>
  <c r="I36" i="2"/>
  <c r="H36" i="2"/>
  <c r="G36" i="2"/>
  <c r="I34" i="2"/>
  <c r="F35" i="2"/>
  <c r="F34" i="2" s="1"/>
  <c r="H34" i="2"/>
  <c r="G34" i="2"/>
  <c r="H32" i="2"/>
  <c r="F33" i="2"/>
  <c r="F32" i="2" s="1"/>
  <c r="I32" i="2"/>
  <c r="G32" i="2"/>
  <c r="F29" i="2"/>
  <c r="F28" i="2" s="1"/>
  <c r="F27" i="2"/>
  <c r="F25" i="2"/>
  <c r="F24" i="2"/>
  <c r="F23" i="2"/>
  <c r="F22" i="2"/>
  <c r="G20" i="2"/>
  <c r="H132" i="2" l="1"/>
  <c r="I42" i="2"/>
  <c r="F42" i="2"/>
  <c r="G42" i="2"/>
  <c r="G179" i="2"/>
  <c r="F165" i="2"/>
  <c r="G18" i="2"/>
  <c r="I88" i="2"/>
  <c r="F20" i="2"/>
  <c r="J88" i="2"/>
  <c r="J70" i="2"/>
  <c r="J132" i="2"/>
  <c r="J219" i="2"/>
  <c r="J179" i="2" s="1"/>
  <c r="G88" i="2"/>
  <c r="I156" i="2"/>
  <c r="I155" i="2" s="1"/>
  <c r="H219" i="2"/>
  <c r="I219" i="2"/>
  <c r="F139" i="2"/>
  <c r="I132" i="2"/>
  <c r="J112" i="2"/>
  <c r="I112" i="2"/>
  <c r="H112" i="2"/>
  <c r="F95" i="2"/>
  <c r="H88" i="2"/>
  <c r="I70" i="2"/>
  <c r="H70" i="2"/>
  <c r="F195" i="2"/>
  <c r="F130" i="2"/>
  <c r="F184" i="2"/>
  <c r="F113" i="2"/>
  <c r="F124" i="2"/>
  <c r="F140" i="2"/>
  <c r="F219" i="2"/>
  <c r="F36" i="2"/>
  <c r="F88" i="2"/>
  <c r="F135" i="2"/>
  <c r="F163" i="2"/>
  <c r="F51" i="2"/>
  <c r="F50" i="2" s="1"/>
  <c r="G70" i="2"/>
  <c r="F71" i="2"/>
  <c r="G112" i="2"/>
  <c r="F133" i="2"/>
  <c r="F208" i="2"/>
  <c r="F207" i="2" s="1"/>
  <c r="F126" i="2"/>
  <c r="F128" i="2"/>
  <c r="G219" i="2"/>
  <c r="F79" i="2"/>
  <c r="F39" i="2"/>
  <c r="F137" i="2"/>
  <c r="H20" i="2"/>
  <c r="I20" i="2"/>
  <c r="I18" i="2" s="1"/>
  <c r="I46" i="2"/>
  <c r="H54" i="2"/>
  <c r="H52" i="2" s="1"/>
  <c r="G132" i="2"/>
  <c r="F121" i="2"/>
  <c r="I69" i="2" l="1"/>
  <c r="J69" i="2"/>
  <c r="H17" i="2"/>
  <c r="I17" i="2"/>
  <c r="F70" i="2"/>
  <c r="F69" i="2" s="1"/>
  <c r="G69" i="2"/>
  <c r="G17" i="2"/>
  <c r="J111" i="2"/>
  <c r="H155" i="2"/>
  <c r="H111" i="2"/>
  <c r="F132" i="2"/>
  <c r="I111" i="2"/>
  <c r="H69" i="2"/>
  <c r="F112" i="2"/>
  <c r="G111" i="2"/>
  <c r="H12" i="2" l="1"/>
  <c r="F159" i="2"/>
  <c r="F156" i="2" s="1"/>
  <c r="F155" i="2" s="1"/>
  <c r="G155" i="2"/>
  <c r="F111" i="2"/>
  <c r="G12" i="2" l="1"/>
  <c r="I12" i="2"/>
  <c r="E18" i="1" l="1"/>
  <c r="E16" i="1" s="1"/>
  <c r="E14" i="1" l="1"/>
  <c r="E12" i="1" s="1"/>
  <c r="E10" i="1" s="1"/>
  <c r="E8" i="1" s="1"/>
</calcChain>
</file>

<file path=xl/sharedStrings.xml><?xml version="1.0" encoding="utf-8"?>
<sst xmlns="http://schemas.openxmlformats.org/spreadsheetml/2006/main" count="1618" uniqueCount="471">
  <si>
    <t>Հավելված N 3</t>
  </si>
  <si>
    <t xml:space="preserve">                     ----------------- N ----------------- որոշման</t>
  </si>
  <si>
    <t xml:space="preserve">Բա-
ժինը
</t>
  </si>
  <si>
    <t xml:space="preserve">Խում-
բը
</t>
  </si>
  <si>
    <t>Դասը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</si>
  <si>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</si>
  <si>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նշված են դրական նշանով, իսկ նվազեցումները` փակագծերում)</t>
  </si>
  <si>
    <t>Տարի</t>
  </si>
  <si>
    <t>այդ թվում՝</t>
  </si>
  <si>
    <t>ՀՀ ՏՐԱՆՍՊՈՐՏԻ, ԿԱՊԻ ԵՎ ՏԵՂԵԿԱՏՎԱԿԱՆ ՏԵԽՆՈԼՈԳԻԱՆԵՐԻ ՆԱԽԱՐԱՐՈՒԹՅՈՒՆ</t>
  </si>
  <si>
    <t>04</t>
  </si>
  <si>
    <t>05</t>
  </si>
  <si>
    <t>01</t>
  </si>
  <si>
    <t>ՀՀ կառավարության 2018 թվականի</t>
  </si>
  <si>
    <t xml:space="preserve">ՀԱՅԱՍՏԱՆԻ ՀԱՆՐԱՊԵՏՈՒԹՅԱՆ ԿԱՌԱՎԱՐՈՒԹՅԱՆ 2017 ԹՎԱԿԱՆԻ ԴԵԿՏԵՄԲԵՐԻ 28-Ի
 N 1717 -Ն ՈՐՈՇՄԱՆ N 5 ՀԱՎԵԼՎԱԾԻ N 12 ԱՂՅՈՒՍԱԿՈՒՄ ԿԱՏԱՐՎՈՂ ՓՈՓՈԽՈՒԹՅՈՒՆՆԵՐԸ 
</t>
  </si>
  <si>
    <t>Առաջին եռամսյակ</t>
  </si>
  <si>
    <t>Առաջին կիսամյակ</t>
  </si>
  <si>
    <t>Ինն ամիս</t>
  </si>
  <si>
    <t xml:space="preserve">Մ-2, Երևան-Երասխ-Գորիս-Մեղրի-Իրանի սահման </t>
  </si>
  <si>
    <t>կմ139+350-139+450 վթարված հենապատի վերականգնում</t>
  </si>
  <si>
    <t>կմ180+938-կմ181+381 հիմնանորոգում (ՀՀ Սյունիքի մարզի Ծղուկ համայնքի տարածք)</t>
  </si>
  <si>
    <t>կմ279+727-կմ282+727 հատվածի հիմնանորոգում</t>
  </si>
  <si>
    <t>կմ291+940-կմ294+000 հատվածի հիմնանորոգում</t>
  </si>
  <si>
    <t>353-րդ կիլոմետրում սողանքային հատվածի վերականգնում</t>
  </si>
  <si>
    <t xml:space="preserve">կմ376+200-կմ376+280 հատվածի կողնակի և շեպի նստվածքի վերականգնում </t>
  </si>
  <si>
    <t>Մ-4, Երևան-Սևան-Իջևան-Ադրբեջանի սահման</t>
  </si>
  <si>
    <t>Մ-5, Երևան-Արմավիր-Թուրքիայի սահման</t>
  </si>
  <si>
    <t>Պտղունք համայնքի վարչական տարածքում 200 մ երկարությամբ հատվածի ջրահեռացման բարելավում</t>
  </si>
  <si>
    <t>Մ-7, Մ-3-Սպիտակ-Գյումրի-Թուրքիայի սահման</t>
  </si>
  <si>
    <t>Նալբանդի թունելի մուտքի ջրահեռացում</t>
  </si>
  <si>
    <t>Մ-11, Մարտունի-Վարդենիս-ԼՂՀ սահման</t>
  </si>
  <si>
    <t>կմ0+000-կմ44+000 առանձին հատվածների հիմնանորոգում</t>
  </si>
  <si>
    <t xml:space="preserve">Հ-4, Երևան-Եղվարդ-Արագյուղ-Հարթավան-Մ-3 </t>
  </si>
  <si>
    <t>կմ28+000-կմ33+100 հատվածի հիմնանորոգում</t>
  </si>
  <si>
    <t>Հ-13, Վաղարշապատ-Մասիս-Մ-2</t>
  </si>
  <si>
    <t>կմ16+000-կմ18+000 2 կմ երկարությամբ հատվածի ասֆալտապատում</t>
  </si>
  <si>
    <t>Հ-55, Հրազդանի տրանսպորտային հանգույց-Ծաղկաձորի մարզահամալիր</t>
  </si>
  <si>
    <t>կմ10+300 սողանքային հատվածի վերականգնում</t>
  </si>
  <si>
    <t>Տ-1-21, Մ-3-Քուչակ-Եղիպատրուշ</t>
  </si>
  <si>
    <t>Քուչակ գյուղի տարածքում 850 մ երկարությամբ հատվածի ասֆալտապատում</t>
  </si>
  <si>
    <t>ՀՀ Գեղարքունիքի մարզի Ծովագյուղ համայնքի 300 մ երկարությամբ հատվածի ասֆալտապատում</t>
  </si>
  <si>
    <t>ՀՀ Գեղարքունիքի մարզի Սեմյոնովկա համայնքում վթարված հենապատի վերականգնում</t>
  </si>
  <si>
    <t>Ա/ճ Տ-1-31, Մ-1-Շամիրամ հիմնանորոգում</t>
  </si>
  <si>
    <t xml:space="preserve">ՀՀ Լոռու մարզի Ստեփանավան քաղաքի Սոս Սարգսյան-Միլիոնի փողոցի հիմնանորոգում </t>
  </si>
  <si>
    <t>ՀՀ Լոռու մարզի Ստեփանավան քաղաքի Գ.Նժդեհի  փողոցի հիմնանորոգում</t>
  </si>
  <si>
    <t xml:space="preserve">ՀՀ Լոռու մարզի Ալավերդի քաղաքի Հ.Թումանյանի  փողոցի հիմնանորոգում </t>
  </si>
  <si>
    <t>ՀՀ Գեղարքունիքի մարզի Այրիվանք եկեղեցի տանող ճանապարհի հիմնանորոգում</t>
  </si>
  <si>
    <t>Ա/ճ Տ-1-23, Հ-21-Բերքառատ հիմնանորոգում</t>
  </si>
  <si>
    <t>Մ-3, Մարգարա-Վանաձոր-Տաշիր-Վրաստանի սահման</t>
  </si>
  <si>
    <t>Կմ85+500 հատվածում կամուրջի վերանորոգում</t>
  </si>
  <si>
    <t>Կմ86+700 հատվածում կամուրջի վերանորոգում</t>
  </si>
  <si>
    <t>ՀՀ Գեղարքունիքի մարզի Գանձակ-Ծաղկաշեն համայնքները իրար միացնող վթարված կամուրջի հիմնանորոգում</t>
  </si>
  <si>
    <t>ՀՀ Գեղարքունիքի մարզի Կարճաղբյուր համայնքի վթարված կամուրջի հիմնանորոգում</t>
  </si>
  <si>
    <t>ՀՀ Սյունիքի մարզի Վերիշեն համայնքի վթարված կամուրջի վերականգնում</t>
  </si>
  <si>
    <t>ՀՀ Վայոց Ձորի մարզի Եղեգնաձոր-Ագարակաձոր ավտոճանապարհին առկա կամուրջի վերականգնում</t>
  </si>
  <si>
    <t>ՀՀ Վայոց Ձորի մարզի Ագարակաձոր և Գնիշիկ համայնքները իրար կապող ավտոճանապարհին առկա կամուրջի վերականգնում</t>
  </si>
  <si>
    <t>&lt;&lt;Արաքսավան&gt;&gt; սահմանապահ ուղեկալ տանող կամուրջի հիմնանորոգում</t>
  </si>
  <si>
    <t>Ծրագիր</t>
  </si>
  <si>
    <t>ՀՀ ԿԱՌԱՎԱՐՈՒԹՅՈՒՆ</t>
  </si>
  <si>
    <t>Պետական նշանակության ավտոճանապարհների հիմնանորոգում</t>
  </si>
  <si>
    <t>03</t>
  </si>
  <si>
    <t>Հավելված N2</t>
  </si>
  <si>
    <t>---------------- N---------------որոշման</t>
  </si>
  <si>
    <t xml:space="preserve">«ՀԱՅԱՍՏԱՆԻ ՀԱՆՐԱՊԵՏՈՒԹՅԱՆ 2017 ԹՎԱԿԱՆԻ ՊԵՏԱԿԱՆ ԲՅՈՒՋԵԻ ՄԱՍԻՆ» ՀԱՅԱՍՏԱՆԻ 
ՀԱՆՐԱՊԵՏՈՒԹՅԱՆ ՕՐԵՆՔԻ N 1 ՀԱՎԵԼՎԱԾԻ N 13 ԱՂՅՈՒՍԱԿՈՒՄ ԿԱՏԱՐՎՈՂ ՎԵՐԱԲԱՇԽՈՒՄԸ
</t>
  </si>
  <si>
    <t>(հազար դրամ)</t>
  </si>
  <si>
    <t>Հ-28, Ջրառատ-Մեղրաձոր-Հանքավան</t>
  </si>
  <si>
    <t>Բյուջետային
ծախսերի
գործառական
դասակարգման</t>
  </si>
  <si>
    <t>Ծրագրի N</t>
  </si>
  <si>
    <t>ԾՐԱԳՐԵՐԻ ԵՎ ԿԱՏԱՐՈՂՆԵՐԻ
ԱՆՎԱՆՈՒՄՆԵՐԸ</t>
  </si>
  <si>
    <t>բաժին</t>
  </si>
  <si>
    <t>խումբ</t>
  </si>
  <si>
    <t>դաս</t>
  </si>
  <si>
    <t xml:space="preserve">ԸՆԴԱՄԵՆԸ </t>
  </si>
  <si>
    <t xml:space="preserve">այդ թվում՝                                                                                                      </t>
  </si>
  <si>
    <t>կմ24+200-կմ72+000 19.8 կմ հատվածի հիմնանորոգում</t>
  </si>
  <si>
    <t>25-րդ կիլոմետրում սողանքային հատվածի վերականգնում</t>
  </si>
  <si>
    <t>Մ-16, Մ-4-Ոսկեպար-Նոյեմբերյան-Մ-6</t>
  </si>
  <si>
    <t>կմ0+000-կմ2+000 հատվածի հիմնանորոգում</t>
  </si>
  <si>
    <t xml:space="preserve">ՀՀ Տավուշի մարզի Ներքին կարմիր աղբյուր համայնքի դպրոց տանող ճանապարհի հիմնանորոգում </t>
  </si>
  <si>
    <t>ՀՀ Վայոց Ձորի մարզի Գնդևազ համայնքի գյուղապետարան տանող 1.0 կմ երկարությամբ հատվածի հիմնանորոգում</t>
  </si>
  <si>
    <t>Տրանսպորտային օբյեկտների հիմնանորոգում,</t>
  </si>
  <si>
    <t>352-րդ կիլոմետրում վթարված կամուրջի վերականգնում</t>
  </si>
  <si>
    <t>Տ-8-81, Մ-12-Խնածախ-Վաղատուր-Տ-8-13 կմ2+800 հատվածի երկաթբետոնյա խողովակի վերականգնում (ՀՀ Սյունիքի մարզ, Գորիս)</t>
  </si>
  <si>
    <t xml:space="preserve"> ՀՀ կառավարության 2018 թվականի</t>
  </si>
  <si>
    <t>Բաժին</t>
  </si>
  <si>
    <t>Խումբ</t>
  </si>
  <si>
    <t>Դաս</t>
  </si>
  <si>
    <t xml:space="preserve">ՎԱՐԿԱՅԻՆ ԾՐԱԳՐԵՐԻ, ԴՐԱՆՔ ԻՐԱԿԱՆԱՑՆՈՂ ՄԱՐՄԻՆՆԵՐԻ ԵՎ ԲՅՈՒՋԵՏԱՅԻՆ ԾԱԽՍԵՐԻ ՏՆՏԵՍԱԳԻՏԱԿԱՆ ԴԱՍԱԿԱՐԳՄԱՆ ՀՈԴՎԱԾՆԵՐԻ ԱՆՎԱՆՈՒՄՆԵՐԸ </t>
  </si>
  <si>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</si>
  <si>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</si>
  <si>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</si>
  <si>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</si>
  <si>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 xml:space="preserve"> ԸՆԴԱՄԵՆԸ ԾՐԱԳՐԵՐՈՎ,
 այդ թվում` </t>
  </si>
  <si>
    <t xml:space="preserve"> - ՈՉ ՖԻՆԱՆՍԱԿԱՆ ԱԿՏԻՎՆԵՐԻ ԳԾՈՎ ԾԱԽՍԵՐ </t>
  </si>
  <si>
    <t>ՈՉ ՖԻՆԱՆՍԱԿԱՆ ԱԿՏԻՎՆԵՐԻ ԳԾՈՎ ԾԱԽՍԵՐ</t>
  </si>
  <si>
    <t>ՄԵՔԵՆԱՆԵՐ ԵՎ ՍԱՐՔԱՎՈՐՈՒՄՆԵՐ, այդ թվում`</t>
  </si>
  <si>
    <t>Այլ մեքենաներ և սարքավորումներ</t>
  </si>
  <si>
    <t>ՇԵՆՔԵՐ ԵՎ ՇԻՆՈՒԹՅՈՒՆՆԵՐ, այդ թվում`</t>
  </si>
  <si>
    <t>Շենքերի և շինությունների կապիտալ վերանորոգում</t>
  </si>
  <si>
    <t>Նախագծահետազոտական ծախսեր</t>
  </si>
  <si>
    <t xml:space="preserve"> այդ թվում` ՀՀ տրանսպորտի, կապի և տեղեկատվական տեխնոլոգիաների նախարարություն </t>
  </si>
  <si>
    <t xml:space="preserve"> 08. Համաշխարհային բանկի աջակցությամբ իրականացվող Կենսական նշանակության ճանապարհացանցի  բարելավման ծրագիր</t>
  </si>
  <si>
    <t xml:space="preserve"> 16. Համաշխարհային բանկի աջակցությամբ իրականացվող Կենսական նշանակության ճանապարհացանցի բարելավման լրացուցիչ ծրագիր</t>
  </si>
  <si>
    <t>Հավելված N 5</t>
  </si>
  <si>
    <t>Ընդամենը ոչ
ֆինանսական
ակտիվների
գծով ծախսեր,</t>
  </si>
  <si>
    <t>Շենքերի և
շինությունների
շինարարություն</t>
  </si>
  <si>
    <t>Շենքերի և
շինությունների
կապիտալ
վերանորոգում</t>
  </si>
  <si>
    <t>Նախագծահե-
տազոտական,
գեոդեզիա-
քարտեզագրա-
կան աշխա-
տանքներ</t>
  </si>
  <si>
    <t>Միջպետական նշանակության ավտոճանապարհներ, այդ թվում</t>
  </si>
  <si>
    <t xml:space="preserve">352-րդ կիլոմետրում վթարային կամուրջի շրջանցիկ ճանապարհի կառուցում </t>
  </si>
  <si>
    <t>կմ41+200-կմ57+069 (ձախակողմյան) հատվածի հիմնանորոգում</t>
  </si>
  <si>
    <t>կմ41+900-կմ57+069 հատվածում 15,0 կմմետաղական արգելափակոցների տեղադրում (սիզամարգում)</t>
  </si>
  <si>
    <t>32-րդ կիլոմետրում նստվածքային տեղամասի  վերականգնում</t>
  </si>
  <si>
    <t xml:space="preserve">Մ-16, Մ-4-Ոսկեպար-Նոյեմբերյան-Մ-6 </t>
  </si>
  <si>
    <t xml:space="preserve">Ոսկեպար գյուղի սկզբից մինչև Բաղանիս գյուղ նոր շրջանցիկ ճանապարհի կառուցման աշխատանքների նախագծերի պատրաստում, ծախսերի գնահատում </t>
  </si>
  <si>
    <t>Հանրապետական նշանակության ավտոճանապարհներ, այդ թվում</t>
  </si>
  <si>
    <t>Մարզային նշանակության ավտոճանապարհներ, այդ թվում</t>
  </si>
  <si>
    <t>ՀՀ Վայոց Ձորի մարզի Գնդևազ համայնքի ընդհանուրը 1կմ երկարությամբ փողոցների ասֆալտապատում</t>
  </si>
  <si>
    <t>ՀՀ Տավուշի մարզի Ներքին կարմիր աղբյուր համայնքի դպրոց տանող ճանապարհի հիմնանորոգում</t>
  </si>
  <si>
    <t>ՀՀ Գեղարքունիքի մարզի Լանջաղբյուր համայնքի 1,3 կմ երկարությամբ ճանապարհի ասֆալտապատում</t>
  </si>
  <si>
    <t>ՀՀ Գեղարքունիքի մարզի Կարճաղբյուր համայնքի փողոցների հիմնանորոգում</t>
  </si>
  <si>
    <t>Ա/ճ Տ-5-25, Մ3-Լեռնապատ հիմնանորոգում</t>
  </si>
  <si>
    <t>կմ41+900-կմ57+069 հատվածում 15,0 կմ մետաղական արգելափակոցների տեղադրում (սիզամարգում)</t>
  </si>
  <si>
    <t>32-րդ կիլոմետրում նստվածքային տեղամասի վերականգնում</t>
  </si>
  <si>
    <t>2. Տեխնիկական հսկողության աշխատանքներ, այդ թվում</t>
  </si>
  <si>
    <t>3. Հեղինակային հսկողության աշխատանքներ, այդ թվում</t>
  </si>
  <si>
    <t>ՀՀ Գեղարքունիքի մարզի Վահան գյուղի վթարված կամրջի վերանորոգում</t>
  </si>
  <si>
    <t xml:space="preserve">Մետաղական արգելափակոցների տեղադրում 15 կմ երկարությամբ </t>
  </si>
  <si>
    <t>Մ-6-Վանաձոր-Դիլիջան</t>
  </si>
  <si>
    <t xml:space="preserve">հատված կմ0+000-կմ37+000 </t>
  </si>
  <si>
    <t xml:space="preserve">Մ-14, Մ-4-Շորժա-Վարդենիս </t>
  </si>
  <si>
    <t>կմ32+888-կմ33+628 և կմ52+970-կմ53+350 փլուզված հատվածներում գաբիոնային հենապատեր</t>
  </si>
  <si>
    <t>Հ-3, Երևան-Գառնի-Գեղարդ ավտոճանապարհի 35-րդ կմ հատվածում հարկադիր քարաթափում</t>
  </si>
  <si>
    <t>ՀՀ Արմավիրի մարզի Արտաշար-Զարթոնք-Եղեգնուտ ավտոճանապարհի 11,1 կմ երկարությամբ հատված</t>
  </si>
  <si>
    <t>ՀՀ Արմավիրի մարզի Փշատավան-Արգավանդ ավտոճանապարհի 3,0 կմ երկարությամբ հատված</t>
  </si>
  <si>
    <t>ՀՀ Տավուշի մարզի Այգեպար համայնքի 2,0 կմ երկարությամբ հատված</t>
  </si>
  <si>
    <t>ՀՀ Տավուշի մարզի Նեքին Կարմիր Աղբյուր համայնքի 5,7 կմ երկարությամբ հատված</t>
  </si>
  <si>
    <t>ՀՀ Տավուշի մարզի Բերդավան համայնքի ներհանայնքային երկու փողոցների 2,1 կմ երկարությամբ հատվածներ</t>
  </si>
  <si>
    <t>ՀՀ Տավուշի մարզի Մ16-Բերքաբեր ճանապարհի 4,0 կմ երկարությամբ հատված</t>
  </si>
  <si>
    <t>ՀՀ Տավուշի մարզի Վերին Կարմիր Աղբյուր համայնքի 1,65 կմ երկարությամբ հատված</t>
  </si>
  <si>
    <t>ՀՀ Գեղարքունիքի մարզի Նորատուս համայնքի 1,0 կմ երկարությամբ հատված</t>
  </si>
  <si>
    <t>ՀՀ Գեղարքունիքի մարզի Գանձակ համայնքի 2,0 կմ երկարությամբ հատված</t>
  </si>
  <si>
    <t>ՀՀ Գեղարքունիքի մարզի Ծովազարդ համայնքի 2,5 կմ երկարությամբ հատված</t>
  </si>
  <si>
    <t>ՀՀ Սյունիքի մարզի Խոտ համայնքի 2,2 կմ երկարությամբ հատված</t>
  </si>
  <si>
    <t>ՀՀ Վայոց Ձորի մարզ. Մոտեցումներ դեպի Ցախացքար վանական համալիրին և Սմբատաբերդին</t>
  </si>
  <si>
    <t>ՀՀ Կոտայքի մարզի Կամարիս համայնքի 2,0 կմ երկարությամբ հատված</t>
  </si>
  <si>
    <t>Հ-6,  Հ-2-Եղվարդի տր. հանգույց-Մ-1</t>
  </si>
  <si>
    <t>Եղվարդի տր. Հանգույց</t>
  </si>
  <si>
    <t xml:space="preserve">Հ-40, Մ2-Արենի-Խաչիկ-Գնիշիկ-Եղեգնաձոր </t>
  </si>
  <si>
    <t>Արենի համայնքի վթարված կամուրջ</t>
  </si>
  <si>
    <t>Հ-69, Հ-21-Հառիճ</t>
  </si>
  <si>
    <t>1-ին կմ-ում վթարված խողովակ</t>
  </si>
  <si>
    <t>ՀՀ միջպետական նշանակության, այդ թվում (Մ3,Մարգարա-Վանաձոր-Վրաստանի սահման, հատված կմ0+17.9, կմ21,5-կմ35,5 և կմ39,5– կմ183+700, Մ-7՝ Մ3-Սպիտակ-Գյումրի Թուրքիայի սահման, հատվածներ կմ0+000– կմ42+800, Մ-10՝ Սևան-Մարտունի-Գետափ, հատված կմ0+000–կմ125+100, Մ-11՝ Մարտունի-Վարդենիս-ԱՀ սահման, հատված կմ0+000–կմ 56+200 և Մ-12՝ Գորիս-ԱՀ սահման, հատված կմ0+000–կմ28+500,) ավտոճանապարհներին ճանապարհային նշանների տարաբաշխման գծապատկերների պատվիրում:</t>
  </si>
  <si>
    <t>4. 2019 թվականին իրականացվելիք  ճանապարհաշինական աշխատանքների նախագծային աշխատանքներ, այդ թվում`</t>
  </si>
  <si>
    <t>Միջպետական նշանակության ավտոճանապարհներ,</t>
  </si>
  <si>
    <t>1. Ճանապարհների հիմնանորոգում, այդ թվում</t>
  </si>
  <si>
    <t>1. Կամուրջների հիմնանորոգում, այդ թվում՝</t>
  </si>
  <si>
    <t>Ոչ
ֆինանսական
ակտիվների
գծով այլ
ծախսեր</t>
  </si>
  <si>
    <t>Հանրապետական նշանակության ավտոճանապարհներ,</t>
  </si>
  <si>
    <t>Մարզային նշանակության ավտոճանապարհներ,</t>
  </si>
  <si>
    <t>Հավելված N 1</t>
  </si>
  <si>
    <t>Բա-ժինը</t>
  </si>
  <si>
    <t>Խումբը</t>
  </si>
  <si>
    <t>Բյուջետային ծախսերի գործառնական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</si>
  <si>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ԸՆԴԱՄԵՆԸ</t>
  </si>
  <si>
    <t>ՏՆՏԵՍԱԿԱՆ ՀԱՐԱԲԵՐՈՒԹՅՈՒՆՆԵՐ</t>
  </si>
  <si>
    <t>Տրանսպորտ</t>
  </si>
  <si>
    <t>Ճանապարհային տրանսպորտ</t>
  </si>
  <si>
    <t xml:space="preserve">01.Պետական նշանակության ավտոճանապարհների հիմնանորոգում </t>
  </si>
  <si>
    <r>
      <rPr>
        <b/>
        <sz val="11"/>
        <rFont val="GHEA Grapalat"/>
        <family val="3"/>
      </rPr>
      <t>այդ թվում՝</t>
    </r>
  </si>
  <si>
    <t>ՀՀ տրանսպորտի, կապի և տեղեկատվական տեխնոլոգիաների նախարարություն</t>
  </si>
  <si>
    <t xml:space="preserve">03.Տրանսպորտային օբյեկտների հիմնանորոգում </t>
  </si>
  <si>
    <t>ՀՀ կառավարություն</t>
  </si>
  <si>
    <t xml:space="preserve">                   -ի N        -Ն որոշման</t>
  </si>
  <si>
    <t>Չափորոշիչներ</t>
  </si>
  <si>
    <t>Ոչ ֆինանսական ցուցանիշներ</t>
  </si>
  <si>
    <t>Ֆինանսական ցուցանիշներ (հազար դրամ)</t>
  </si>
  <si>
    <t>Ծրագրային դասիչը</t>
  </si>
  <si>
    <t>Անվանումը</t>
  </si>
  <si>
    <t>Նկարագրություն՝</t>
  </si>
  <si>
    <t>Քանակական</t>
  </si>
  <si>
    <t>Մշակված չէ</t>
  </si>
  <si>
    <t>-</t>
  </si>
  <si>
    <t>Որակական</t>
  </si>
  <si>
    <t>x</t>
  </si>
  <si>
    <t xml:space="preserve">Ծրագիրը (ծրագրերը), որի (որոնց) շրջանակներում իրականացվում է քաղաքականության միջոցառումը </t>
  </si>
  <si>
    <t>Վերջնական արդյունքի նկարագրությունը</t>
  </si>
  <si>
    <t>Ծրագիրը (ծրագրերը), որի (որոնց) շրջանակներում իրականացվում է քաղաքականության միջոցառումը</t>
  </si>
  <si>
    <t>Կամուրջներ</t>
  </si>
  <si>
    <t>1049. Ճանապարհային ցանցի բարելավման և անվտանգ երթևեկության ապահովման ծառայություններ</t>
  </si>
  <si>
    <t xml:space="preserve">Ճանապարհների վիճակով պայմանավորված վթարների և դժբախտ պատահարների նվազում, ուղևորափոխադրումների և բեռնափոխադրումների ժամանակի կրճատում (միջին արագության բարձրացում), տրանսպորտային ծախսերի կրճատում           </t>
  </si>
  <si>
    <t>Անվանումը՝</t>
  </si>
  <si>
    <t>Նկարագրությունը՝</t>
  </si>
  <si>
    <t>1.6. Հանրության կողմից օգտագործվող ոչ ֆինանսական ակտիվներ</t>
  </si>
  <si>
    <t>ԱՁ01</t>
  </si>
  <si>
    <t>Միջպետական և տեղական նշանակության ավտոճանապարհների քայքայված ծածկի վերանորոգում, մաշված ծածկի փոխարինում</t>
  </si>
  <si>
    <t>Հիմնանորոգվող ավտոճանապարհների երկարությունը /կիլոմետր/</t>
  </si>
  <si>
    <t>Միջպետական նշանակության</t>
  </si>
  <si>
    <t>Հանրապետական նշանակության</t>
  </si>
  <si>
    <t>Մարզային նշանակության ավտոճանապարհներ</t>
  </si>
  <si>
    <t>Համայնքների տրանսպորտային կապի ցուցանիշ: Հիմնական ճանապարհային ցանցի կամ մարզկենտրոնների հետ առնվազն մեկ բավարար կամ ավելի լավ վիճակում գտնվող ճանապարհներ ունեցող բնակավայրերի մասնաբաժինը բնակավայրերի ընդհանուր թվում, %</t>
  </si>
  <si>
    <t>Անհարթության IRI գործակցի միջին թվաբանականը (ա) Միջպետական ճանապարհներ, մ/կմ</t>
  </si>
  <si>
    <t>Անհարթության IRI գործակցի միջին թվաբանականը (բ) Հանրապետական ճանապարհներ, մ/կմ</t>
  </si>
  <si>
    <t>Բավարար վիճակում ճանապարհների և հատվածների երկարության հարաբերությունը այդ կարգի ճանապարհների ողջ երկարությանը, %</t>
  </si>
  <si>
    <t>Տվյալ տարվա պետական  բյուջեից ակտիվի ձեռքբերման, կառուցման կամ հիմնանորոգման վրա կատարվող ծախսերը (հազար դրամ)</t>
  </si>
  <si>
    <t>Ակտիվի ընդհանուր արժեքը  (հազար դրամ)</t>
  </si>
  <si>
    <t>Տվյալ բյուջետային տարվան նախորդող բյուջետային տարիների ընթացքում ակտիվի վրա կատարված ծախսերը (հազար դրամ)</t>
  </si>
  <si>
    <t>Տրանսպորտային օբյեկտների հիմնանորոգում</t>
  </si>
  <si>
    <t>ԱՁ02</t>
  </si>
  <si>
    <t xml:space="preserve">Ավտոմոբիլային ճանապարհների վրա գտնվող կամուրջների հիմնանորոգում </t>
  </si>
  <si>
    <t>Հիմնանորոգվող տրանսպորտային օբյեկտների թիվը, այդ թվում՝</t>
  </si>
  <si>
    <t>Կամուրջներ (մ)</t>
  </si>
  <si>
    <t>Տրանսպորտային միջոցների համար անցանելիության աստիճանի բարձրացում (%)</t>
  </si>
  <si>
    <t>Տվյալ տարվա պետական բյուջեից ակտիվի ձեռքբերման, կառուցման կամ հիմնանորոգման վրա կատարվող ծախսերը (հազար դրամ)</t>
  </si>
  <si>
    <t>Ակտիվի ընդհանուր արժեքը (հազ. դրամ)</t>
  </si>
  <si>
    <t>Տվյալ բյուջետային տարվան նախորդող բյուջետային տարիների ընթացքում ակտիվի վրա կատարված ծախսերը (հազ. դրամ)</t>
  </si>
  <si>
    <t>Հավելված N 6</t>
  </si>
  <si>
    <t>Բաժին 2.</t>
  </si>
  <si>
    <t>Գերատեսչության կողմից իրականացվող քաղաքականության միջոցառումների ծրագրային խմբավորումը</t>
  </si>
  <si>
    <t>Գործառական
դասիչը</t>
  </si>
  <si>
    <t>Ծրագիրը/քաղաքականության միջոցառումը</t>
  </si>
  <si>
    <t>ծրա-
գիրը</t>
  </si>
  <si>
    <t>միջոցա-
ռումը</t>
  </si>
  <si>
    <t>(բաժին/
խումբ/
դաս)</t>
  </si>
  <si>
    <t>ԾՐԱԳԻՐ</t>
  </si>
  <si>
    <t>Ծրագրի նկարագրությունը</t>
  </si>
  <si>
    <t>Ակտիվի նկարագրությունը</t>
  </si>
  <si>
    <t>Ծրագիրը (ծրագրերը), որին (որոնց) առնչվում է ակտիվը</t>
  </si>
  <si>
    <t xml:space="preserve"> Ճանապարհային ցանցի բարելավման և անվտանգ երթևկության ապահովման ծառայություններ</t>
  </si>
  <si>
    <t>ՀՀ պետական նշանակության ավտոմոբիլային ճանապարհների կառուցում, հիմնանորոգում և պահպանություն</t>
  </si>
  <si>
    <t xml:space="preserve">Ճանապարհների վիճակով պայմանավորված վթարների և դժբախտ պատահարների նվազում, ուղևորափոխադրումների և բեռնափոխադրումների ժամանակի կրճատում (միջին արագության բարձրացում), տրանսպորտային ծախսերի կրճատում   </t>
  </si>
  <si>
    <t>Ոչ ֆինանսական ակտիվների գծով միջոցառումներ</t>
  </si>
  <si>
    <t>Միջպետական և տեղական նշանակության ավտոճանապարհների քայքայված ծածակի վերանորոգում, մաշված ծածկի փոխարինում</t>
  </si>
  <si>
    <t>1049. Ճանապարհային ցանցի բարելավման և անվտանգ երթևկության ապահովման ծառայություններ</t>
  </si>
  <si>
    <t>Ավտոմոբիլային ճանապարհների վրա գտնվող կամուրջների հիմնանորոգում</t>
  </si>
  <si>
    <t>Հավելված N 4</t>
  </si>
  <si>
    <t>Հավելված N 7</t>
  </si>
  <si>
    <t xml:space="preserve">               ----------------- N ----------------- որոշման</t>
  </si>
  <si>
    <t>Աշխատանքներ</t>
  </si>
  <si>
    <t>դրամ</t>
  </si>
  <si>
    <t>Քանակը</t>
  </si>
  <si>
    <t>ԲՄ</t>
  </si>
  <si>
    <t>45221117/1</t>
  </si>
  <si>
    <t xml:space="preserve"> 16, Համաշխարհային բանկի աջակցությամբ իրականացվող Կենսական նշանակության ճանապարհացանցի  բարելավման լրացուցիչ  ծրագիր</t>
  </si>
  <si>
    <t>Այլ մեքենաներ ու սարքավորումներ</t>
  </si>
  <si>
    <t>«ՀԱՅԱՍՏԱՆԻ ՀԱՆՐԱՊԵՏՈՒԹՅԱՆ 2018 ԹՎԱԿԱՆԻ ՊԵՏԱԿԱՆ ԲՅՈՒՋԵԻ ՄԱՍԻՆ» ՀԱՅԱՍՏԱՆԻ ՀԱՆՐԱՊԵՏՈՒԹՅԱՆ ՕՐԵՆՔԻ N 1 ՀԱՎԵԼՎԱԾՈՒՄ ԿԱՏԱՐՎՈՂ ՎԵՐԱԲԱՇԽՈՒՄԸ ԵՎ ՀԱՅԱՍՏԱՆԻ ՀԱՆՐԱՊԵՏՈՒԹՅԱՆ ԿԱՌԱՎԱՐՈՒԹՅԱՆ 2017 ԹՎԱԿԱՆԻ ԴԵԿՏԵՄԲԵՐԻ 28-Ի N 1717-Ն ՈՐՈՇՄԱՆ N 5 ՀԱՎԵԼՎԱԾՈՒՄ ԿԱՏԱՐՎՈՂ  ՓՈՓՈԽՈՒԹՅՈՒՆՆԵՐԸ</t>
  </si>
  <si>
    <t>Շենքերի և շինությունների շինարարություն</t>
  </si>
  <si>
    <t>այդ թվում`</t>
  </si>
  <si>
    <t>Նախագծանախահաշվային փաստաթղթեր</t>
  </si>
  <si>
    <t>ՀԱՅԱՍՏԱՆԻ ՀԱՆՐԱՊԵՏՈՒԹՅԱՆ ԿԱՌԱՎԱՐՈՒԹՅԱՆ 2017 ԹՎԱԿԱՆԻ ԴԵԿՏԵՄԲԵՐԻ 28-Ի N 1717-Ն  ՈՐՈՇՄԱՆ N 11 ՀԱՎԵԼՎԱԾԻ N 11.20 ԱՂՅՈՒՍԱԿՈՒՄ ԿԱՏԱՐՎՈՂ ՓՈՓՈԽՈՒԹՅՈՒՆՆԵՐԸ ԵՎ ԼՐԱՑՈՒՄՆԵՐԸ</t>
  </si>
  <si>
    <t>ԱՁ04</t>
  </si>
  <si>
    <t xml:space="preserve">Կենսական նշանակության ճանապարհացանցի բարելավման լրացուցիչ ֆինանսավորման ծրագրի իրականացման շրջանակներում ծառայություններ </t>
  </si>
  <si>
    <t xml:space="preserve">Համաշխարհային բանկի աջակցությամբ իրականացվող կենսական նշանակության ավտոճանապարհների բարեկարգման աշխատանքներ </t>
  </si>
  <si>
    <t>Վերականգնվող ավտոճանապարհների երկարությունը //</t>
  </si>
  <si>
    <t>Ծրագրի իրականացման արդյունքում անհարթության IRI  գործակցի միջին թվաքանակը վերականգնվող մարզերում</t>
  </si>
  <si>
    <t>ԱՁ</t>
  </si>
  <si>
    <t xml:space="preserve">Կենսական նշանակության ճանապարհացանցի բարելավման  ծրագրի իրականացման շրջանակներում ծառայություններ </t>
  </si>
  <si>
    <t>Սարքերի ձեռք բերում  /հաշվիչներ/</t>
  </si>
  <si>
    <t xml:space="preserve">ՀԱՅԱՍՏԱՆԻ ՀԱՆՐԱՊԵՏՈՒԹՅԱՆ ԿԱՌԱՎԱՐՈՒԹՅԱՆ 2017 ԹՎԱԿԱՆԻ ԴԵԿՏԵՄԲԵՐԻ 28-Ի N 1717-Ն  ՈՐՈՇՄԱՆ N 11 ՀԱՎԵԼՎԱԾԻ N 12 ԱՂՅՈՒՍԱԿՈՒՄ ԿԱՏԱՐՎՈՂ ՓՈՓՈԽՈՒԹՅՈՒՆՆԵՐԸ ԵՎ ԼՐԱՑՈՒՄՆԵՐԸ
Հայաստանի Հանրապետության տրանսպորտի, կապի և տեղեկատվական տեխնոլոգիաների նախարարություն </t>
  </si>
  <si>
    <t xml:space="preserve">Կենսական նշանակության ճանապարհացանցի բարելավման ծրագրի իրականացման շրջանակներում ծառայություններ </t>
  </si>
  <si>
    <t>ՀՀ 2018թվականի
պետական բյուջե
(հազ. դրամ)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</si>
  <si>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</si>
  <si>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</si>
  <si>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</si>
  <si>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</si>
  <si>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Նախագիծ</t>
  </si>
  <si>
    <t>Շինարարություն</t>
  </si>
  <si>
    <t>1 եռամ</t>
  </si>
  <si>
    <t>կիսամյակ</t>
  </si>
  <si>
    <t>9 ամիս</t>
  </si>
  <si>
    <t>Եռամսյակային բաշխումներ</t>
  </si>
  <si>
    <t>Պետական քաղաքականության մշակման, ծրագրերի համակարգման և մոնիտորինգի ծրագիր</t>
  </si>
  <si>
    <t>Քաղաքականության մշակման և դրա կատարման համակարգման, պետական ծրագրերի պլանավորման, մշակման, իրականացման և մոնիտորինգի (վերահսկման) ծառայություններ</t>
  </si>
  <si>
    <t>Ծրագիրը նպաստում է ՀՀ նախարարությունների կողմից իրականացվող ծրագրերի գծով նախատեսված արդյունքների ապահովմանը</t>
  </si>
  <si>
    <t>Քաղաքականության միջոցառումներ. Ծառայություններ</t>
  </si>
  <si>
    <t>ԱԾ08</t>
  </si>
  <si>
    <t>Քաղաքականության, խորհրդատվության, մոնիտորինգի, համակարգման և աջակցության ծառայություններ տրանսպորտի և կապի բնագավառում</t>
  </si>
  <si>
    <t>Մատուցվող ծառայության նկարագրությունը</t>
  </si>
  <si>
    <t>Ոլորտի քաղաքականության, խորհրդատվության, մոնիտորինգի, գնման և աջակցության ծառայություններ</t>
  </si>
  <si>
    <t>Ծառայություն մատուցողի անվանումը</t>
  </si>
  <si>
    <t>ՀՀ տրանսպորտի, կապի և տեղեկատվական տեխնոլոգիաների  նախարարություն</t>
  </si>
  <si>
    <t>ՄԱՍ Բ:Կառավարչական հիմնարկի անմիջական գործունեության արդյունքները</t>
  </si>
  <si>
    <t>1. Անմիջականորեն մատուցվող ծառայությունների արդյունքային ցուցանիշները</t>
  </si>
  <si>
    <t>Ժամկետայնություն</t>
  </si>
  <si>
    <t>Մատուցվող ծառայության վրա կատարվող ծախսը (հազար դրամ)</t>
  </si>
  <si>
    <t>1001 Պետական քաղաքականության մշակման, ծրագրերի համակարգման և մոնիտորինգի ծրագիր</t>
  </si>
  <si>
    <t>Նպաստել ՀՀ տրանսպորտի, կապի և տեղեկատվական տեխնոլոգիաների նախարարության այլ ծրագրերով նախատեսված արդյունքների ապահովմանը</t>
  </si>
  <si>
    <t>Ծառայություն մատուցողի (մատուցողների) անվանումը</t>
  </si>
  <si>
    <t xml:space="preserve">ՀՀ տրանսպորտի, կապի և տեղեկատվական տեխնոլոգիաների նախարարություն </t>
  </si>
  <si>
    <t>ՀԱՅԱՍՏԱՆԻ ՀԱՆՐԱՊԵՏՈՒԹՅԱՆ ԿԱՌԱՎԱՐՈՒԹՅԱՆ 2017 ԹՎԱԿԱՆԻ ԴԵԿՏԵՄԲԵՐԻ 28-Ի N 1717-Ն ՈՐՈՇՄԱՆ N 12 ՀԱՎԵԼՎԱԾՈՒՄ ԿԱՏԱՐՎՈՂ ՓՈՓՈԽՈՒԹՅՈՒՆՆԵՐԸ ԵՎ ԼՐԱՑՈԻՄՆԵՐԸ</t>
  </si>
  <si>
    <t>45231177/1</t>
  </si>
  <si>
    <t>Դրամ</t>
  </si>
  <si>
    <t>45231177/343</t>
  </si>
  <si>
    <t>Մ-2, Երևան-Երասխ-Գորիս-Մեղրի-Իրանի սահման կմ139+350-139+450 վթարված հենապատի վերականգնում</t>
  </si>
  <si>
    <t>45231177/335</t>
  </si>
  <si>
    <t>Մ-2, Երևան-Երասխ-Գորիս-Մեղրի-Իրանի սահման կմ279+727-կմ282+727 հատվածի հիմնանորոգում</t>
  </si>
  <si>
    <t>45231177/330</t>
  </si>
  <si>
    <t>Մ-2, Երևան-Երասխ-Գորիս-Մեղրի-Իրանի սահման կմ291+940-կմ294+000 հատվածի հիմնանորոգում</t>
  </si>
  <si>
    <t>45231177/1051</t>
  </si>
  <si>
    <t xml:space="preserve">Մ-2, Երևան-Երասխ-Գորիս-Մեղրի-Իրանի սահման 352-րդ կիլոմետրում վթարային կամուրջի շրջանցիկ ճանապարհի կառուցում </t>
  </si>
  <si>
    <t>45231177/324</t>
  </si>
  <si>
    <t>Մ-2, Երևան-Երասխ-Գորիս-Մեղրի-Իրանի սահման 353-րդ կիլոմետրում սողանքային հատվածի վերականգնում</t>
  </si>
  <si>
    <t>45231177/325</t>
  </si>
  <si>
    <t xml:space="preserve">Մ-2, Երևան-Երասխ-Գորիս-Մեղրի-Իրանի սահման կմ376+200-կմ376+280 հատվածի կողնակի և շեպի նստվածքի վերականգնում </t>
  </si>
  <si>
    <t>45231177/336</t>
  </si>
  <si>
    <t>Մ-4, Երևան-Սևան-Իջևան-Ադրբեջանի սահման կմ41+200-կմ57+069 (ձախակողմյան) հատվածի հիմնանորոգում</t>
  </si>
  <si>
    <t>45231177/346</t>
  </si>
  <si>
    <t>Մ-4, Երևան-Սևան-Իջևան-Ադրբեջանի սահման կմ41+900-կմ57+069 հատվածում 15,0 կմ մետաղական արգելափակոցների տեղադրում (սիզամարգում)</t>
  </si>
  <si>
    <t>45231177/327</t>
  </si>
  <si>
    <t xml:space="preserve"> Մ-7, Մ-3-Սպիտակ-Գյումրի-Թուրքիայի սահման Նալբանդի թունելի մուտքի ջրահեռացում</t>
  </si>
  <si>
    <t>45231177/328</t>
  </si>
  <si>
    <t xml:space="preserve"> Մ-11, Մարտունի-Վարդենիս-ԼՂՀ սահման32-րդ կիլոմետրում նստվածքային տեղամասի վերականգնում</t>
  </si>
  <si>
    <t>45231177/349</t>
  </si>
  <si>
    <t>Մ-16, Մ-4-Ոսկեպար-Նոյեմբերյան-Մ-6կմ0+000-կմ44+000 առանձին հատվածների հիմնանորոգում</t>
  </si>
  <si>
    <t>45231177/331</t>
  </si>
  <si>
    <t xml:space="preserve"> Հ-13, Վաղարշապատ-Մասիս-Մ-2 կմ16+000-կմ18+000 2 կմ երկարությամբ հատվածի ասֆալտապատում</t>
  </si>
  <si>
    <t>45231177/341</t>
  </si>
  <si>
    <t>Հ-55, Հրազդանի տրանսպորտային հանգույց-Ծաղկաձորի մարզահամալիր կմ10+300 սողանքային հատվածի վերականգնում</t>
  </si>
  <si>
    <t>45231177/326</t>
  </si>
  <si>
    <t>45231177/345</t>
  </si>
  <si>
    <t>45231177/342</t>
  </si>
  <si>
    <t>45231177/332</t>
  </si>
  <si>
    <t>45231177/339</t>
  </si>
  <si>
    <t>45231177/338</t>
  </si>
  <si>
    <t>45231177/337</t>
  </si>
  <si>
    <t>45231177/329</t>
  </si>
  <si>
    <t>45231177/333</t>
  </si>
  <si>
    <t>45231177/1052</t>
  </si>
  <si>
    <t>45231177/347</t>
  </si>
  <si>
    <t>45231177/1053</t>
  </si>
  <si>
    <t>Ծառայություններ</t>
  </si>
  <si>
    <t>Տեխնիկական հսկողություն</t>
  </si>
  <si>
    <t>71351540/1</t>
  </si>
  <si>
    <t>71351540/1034</t>
  </si>
  <si>
    <t>71351540/1035</t>
  </si>
  <si>
    <t>71351540/1036</t>
  </si>
  <si>
    <t>71351540/1066</t>
  </si>
  <si>
    <t>71351540/1037</t>
  </si>
  <si>
    <t>71351540/1038</t>
  </si>
  <si>
    <t>71351540/1039</t>
  </si>
  <si>
    <t>71351540/1040</t>
  </si>
  <si>
    <t>71351540/1041</t>
  </si>
  <si>
    <t>71351540/1042</t>
  </si>
  <si>
    <t>71351540/1043</t>
  </si>
  <si>
    <t>71351540/1044</t>
  </si>
  <si>
    <t>71351540/1045</t>
  </si>
  <si>
    <t>71351540/1067</t>
  </si>
  <si>
    <t>71351540/1046</t>
  </si>
  <si>
    <t>71351540/1047</t>
  </si>
  <si>
    <t>71351540/1048</t>
  </si>
  <si>
    <t>71351540/1049</t>
  </si>
  <si>
    <t>71351540/1050</t>
  </si>
  <si>
    <t>71351540/1051</t>
  </si>
  <si>
    <t>71351540/1052</t>
  </si>
  <si>
    <t>71351540/1053</t>
  </si>
  <si>
    <t>71351540/1054</t>
  </si>
  <si>
    <t>71351540/1055</t>
  </si>
  <si>
    <t>71351540/1056</t>
  </si>
  <si>
    <t>71351540/1057</t>
  </si>
  <si>
    <t>Հեղինակային հսկողության ծառայություն</t>
  </si>
  <si>
    <t>98111140/1</t>
  </si>
  <si>
    <t>ՄԱ</t>
  </si>
  <si>
    <t>98111140/2</t>
  </si>
  <si>
    <t>98111140/3</t>
  </si>
  <si>
    <t>Մ-2, Երևան-Երասխ-Գորիս-Մեղրի-Իրանի սահման կմ180+938-կմ181+381 հիմնանորոգում (ՀՀ Սյունիքի մարզի Ծղուկ համայնքի տարածք)</t>
  </si>
  <si>
    <t>98111140/4</t>
  </si>
  <si>
    <t>98111140/5</t>
  </si>
  <si>
    <t>98111140/6</t>
  </si>
  <si>
    <t>98111140/7</t>
  </si>
  <si>
    <t>98111140/8</t>
  </si>
  <si>
    <t>98111140/9</t>
  </si>
  <si>
    <t>Մ-4, Երևան-Սևան-Իջևան-Ադրբեջանի սահմանկմ41+200-կմ57+069 (ձախակողմյան) հատվածի հիմնանորոգում</t>
  </si>
  <si>
    <t>98111140/10</t>
  </si>
  <si>
    <t>Մ-4, Երևան-Սևան-Իջևան-Ադրբեջանի սահման կմ41+900-կմ57+069 հատվածում 15,0 կմմետաղական արգելափակոցների տեղադրում (սիզամարգում)</t>
  </si>
  <si>
    <t>98111140/11</t>
  </si>
  <si>
    <t>Մ-5, Երևան-Արմավիր-Թուրքիայի սահմանՊտղունք համայնքի վարչական տարածքում 200 մ երկարությամբ հատվածի ջրահեռացման բարելավում</t>
  </si>
  <si>
    <t>98111140/12</t>
  </si>
  <si>
    <t>Մ-7, Մ-3-Սպիտակ-Գյումրի-Թուրքիայի սահմանՆալբանդի թունելի մուտքի ջրահեռացում</t>
  </si>
  <si>
    <t>98111140/13</t>
  </si>
  <si>
    <t>Մ-11, Մարտունի-Վարդենիս-ԼՂՀ սահման32-րդ կիլոմետրում նստվածքային տեղամասի  վերականգնում</t>
  </si>
  <si>
    <t>98111140/14</t>
  </si>
  <si>
    <t>Մ-16, Մ-4-Ոսկեպար-Նոյեմբերյան-Մ-6 կմ0+000-կմ44+000 առանձին հատվածների հիմնանորոգում</t>
  </si>
  <si>
    <t>98111140/15</t>
  </si>
  <si>
    <t>Հ-4, Երևան-Եղվարդ-Արագյուղ-Հարթավան-Մ-3 կմ28+000-կմ33+100 հատվածի հիմնանորոգում</t>
  </si>
  <si>
    <t>98111140/16</t>
  </si>
  <si>
    <t>Հ-13, Վաղարշապատ-Մասիս-Մ-2կմ16+000-կմ18+000 2 կմ երկարությամբ հատվածի ասֆալտապատում</t>
  </si>
  <si>
    <t>98111140/17</t>
  </si>
  <si>
    <t>98111140/18</t>
  </si>
  <si>
    <t>Տ-1-21, Մ-3-Քուչակ-ԵղիպատրուշՔուչակ գյուղի տարածքում 850 մ երկարությամբ հատվածի ասֆալտապատում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</si>
  <si>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</si>
  <si>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</si>
  <si>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</si>
  <si>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</si>
  <si>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</si>
  <si>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</si>
  <si>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</si>
  <si>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</si>
  <si>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98111140/27</t>
  </si>
  <si>
    <t>98111140/28</t>
  </si>
  <si>
    <t>98111140/29</t>
  </si>
  <si>
    <t>98111140/30</t>
  </si>
  <si>
    <t>98111140/31</t>
  </si>
  <si>
    <t>71241200/1</t>
  </si>
  <si>
    <t>Նախագծերի պատրաստում ծախսերի գնահատում</t>
  </si>
  <si>
    <t>71241200/2</t>
  </si>
  <si>
    <t xml:space="preserve">Մ-4, Երևան-Սևան-Իջևան-Ադրբեջանի սահման Մետաղական արգելափակոցների տեղադրում 15 կմ երկարությամբ </t>
  </si>
  <si>
    <t>ԵՄ</t>
  </si>
  <si>
    <t>71241200/3</t>
  </si>
  <si>
    <t xml:space="preserve">Մ-6-Վանաձոր-Դիլիջան հատված կմ0+000-կմ37+000 </t>
  </si>
  <si>
    <t>71241200/4</t>
  </si>
  <si>
    <t>Մ-14, Մ-4-Շորժա-Վարդենիս  կմ32+888-կմ33+628 և կմ52+970-կմ53+350 փլուզված հատվածներում գաբիոնային հենապատեր</t>
  </si>
  <si>
    <t>71241200/5</t>
  </si>
  <si>
    <t>71241200/6</t>
  </si>
  <si>
    <t>71241200/7</t>
  </si>
  <si>
    <t>71241200/8</t>
  </si>
  <si>
    <t>71241200/9</t>
  </si>
  <si>
    <t>71241200/10</t>
  </si>
  <si>
    <t>71241200/11</t>
  </si>
  <si>
    <t>71241200/12</t>
  </si>
  <si>
    <t>71241200/13</t>
  </si>
  <si>
    <t>71241200/14</t>
  </si>
  <si>
    <t>71241200/15</t>
  </si>
  <si>
    <t>71241200/16</t>
  </si>
  <si>
    <t>71241200/17</t>
  </si>
  <si>
    <t>71241200/18</t>
  </si>
  <si>
    <t>45221117/309</t>
  </si>
  <si>
    <t>45221117/324</t>
  </si>
  <si>
    <t>45221117/306</t>
  </si>
  <si>
    <t>45221117/307</t>
  </si>
  <si>
    <t>45221117/326</t>
  </si>
  <si>
    <t>45221117/325</t>
  </si>
  <si>
    <t>45221117/308</t>
  </si>
  <si>
    <t>45221117/327</t>
  </si>
  <si>
    <t>Տեխ հսկողության ծառայութններ</t>
  </si>
  <si>
    <t>Տեխնիկական հսկողության  ծառայութններ</t>
  </si>
  <si>
    <t>71351540/1058</t>
  </si>
  <si>
    <t>71351540/1060</t>
  </si>
  <si>
    <t>71351540/1062</t>
  </si>
  <si>
    <t>71351540/1061</t>
  </si>
  <si>
    <t>71351540/1065</t>
  </si>
  <si>
    <t>71351540/1064</t>
  </si>
  <si>
    <t>71351540/1059</t>
  </si>
  <si>
    <t>71351540/1063</t>
  </si>
  <si>
    <t>Հեղինակային հսկողություն</t>
  </si>
  <si>
    <t>Հ-6,  Հ-2-Եղվարդի տր. հանգույց-Մ-1 Եղվարդի տր. Հանգույց</t>
  </si>
  <si>
    <t>Հ-40, Մ2-Արենի-Խաչիկ-Գնիշիկ-Եղեգնաձոր Արենի համայնքի վթարված կամուրջ</t>
  </si>
  <si>
    <t>Հ-69, Հ-21-Հառիճ 1-ին կմ-ում վթարված խողովակ</t>
  </si>
  <si>
    <t>Ծառայություն</t>
  </si>
  <si>
    <t>48321160/1</t>
  </si>
  <si>
    <t>ԳՀ</t>
  </si>
  <si>
    <t>Չափի միավորը</t>
  </si>
  <si>
    <t xml:space="preserve">Միավորի գինը (դրամ) </t>
  </si>
  <si>
    <t>գումարը (հազար դրամ)</t>
  </si>
  <si>
    <t>Ցուցանիշների փոփոխությունը (գումարների ավելացումները նշված են դրական նշանով, իսկ նվազեցումները` փակագծերում)</t>
  </si>
  <si>
    <t>Նախագծային աշխատանքներ  5134</t>
  </si>
  <si>
    <t>Շինարարական աշխատանքներ կամուրջների համար  5113</t>
  </si>
  <si>
    <t>Թվային քարտեզագրման համակարգչային ծրագրային փաթեթներ  -4234</t>
  </si>
  <si>
    <t>Ճանապարհների վերանորոգման աշխատանքներ  5113</t>
  </si>
  <si>
    <t>Տեխնիկական հսկողության ծառայություններ 5113</t>
  </si>
  <si>
    <t>Հեղինակային հսկողության ծառայություններ  5113</t>
  </si>
  <si>
    <t>Նախագծերի պատրաստում ծախսերի գնահատում  -5134</t>
  </si>
  <si>
    <t>Կոդը</t>
  </si>
  <si>
    <t xml:space="preserve">Գնման ձև  </t>
  </si>
  <si>
    <t>Խումբ N 01</t>
  </si>
  <si>
    <t>Բաժին N 04</t>
  </si>
  <si>
    <t>Խումբ N 09</t>
  </si>
  <si>
    <t>Դաս N 01</t>
  </si>
  <si>
    <t xml:space="preserve">Պետական նշանակության ավտոճանապարհների հիմնանորոգում </t>
  </si>
  <si>
    <t xml:space="preserve">Տրանսպորտային օբյեկտների հիմնանորոգում </t>
  </si>
  <si>
    <t>Բաժին N 11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</si>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</sst>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_);\(#,##0.0\)"/>
    <numFmt numFmtId="165" formatCode="_(* #,##0.0_);_(* \(#,##0.0\);_(* &quot;-&quot;??_);_(@_)"/>
    <numFmt numFmtId="166" formatCode="_(* #,##0.00_);_(* \(#,##0.00\);_(* &quot;-&quot;??_);_(@_)"/>
    <numFmt numFmtId="167" formatCode="_(* #,##0.0_);_(* \(#,##0.0\);_(* &quot;-&quot;?_);_(@_)"/>
    <numFmt numFmtId="168" formatCode="#,##0.0"/>
    <numFmt numFmtId="169" formatCode="0.0"/>
    <numFmt numFmtId="170" formatCode="#,##0.0_ ;\-#,##0.0\ "/>
    <numFmt numFmtId="171" formatCode="0.0_);\(0.0\)"/>
    <numFmt numFmtId="172" formatCode="_-* #,##0.0\ _₽_-;\-* #,##0.0\ _₽_-;_-* &quot;-&quot;??\ _₽_-;_-@_-"/>
    <numFmt numFmtId="173" formatCode="_-* #,##0.000\ _₽_-;\-* #,##0.000\ _₽_-;_-* &quot;-&quot;???\ _₽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HEA Grapalat"/>
      <family val="3"/>
    </font>
    <font>
      <sz val="11"/>
      <color rgb="FFFF000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b/>
      <sz val="10"/>
      <name val="GHEA Grapalat"/>
      <family val="3"/>
    </font>
    <font>
      <b/>
      <i/>
      <sz val="11"/>
      <name val="GHEA Grapalat"/>
      <family val="3"/>
    </font>
    <font>
      <sz val="11"/>
      <color theme="1"/>
      <name val="Arial Armenian"/>
      <family val="2"/>
    </font>
    <font>
      <b/>
      <sz val="10"/>
      <color indexed="8"/>
      <name val="GHEA Grapalat"/>
      <family val="3"/>
    </font>
    <font>
      <sz val="9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u/>
      <sz val="10"/>
      <color indexed="8"/>
      <name val="GHEA Grapalat"/>
      <family val="3"/>
    </font>
    <font>
      <sz val="10"/>
      <name val="Times Armenian"/>
      <family val="1"/>
    </font>
    <font>
      <sz val="11"/>
      <name val="Times Armenian"/>
      <family val="1"/>
    </font>
    <font>
      <sz val="10"/>
      <color indexed="10"/>
      <name val="GHEA Grapalat"/>
      <family val="3"/>
    </font>
    <font>
      <sz val="10"/>
      <name val="Times Armenian"/>
      <family val="1"/>
    </font>
    <font>
      <sz val="10"/>
      <color rgb="FF9C6500"/>
      <name val="Calibri"/>
      <family val="2"/>
      <scheme val="minor"/>
    </font>
    <font>
      <b/>
      <u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1"/>
      <color rgb="FFC00000"/>
      <name val="GHEA Grapalat"/>
      <family val="3"/>
    </font>
    <font>
      <b/>
      <sz val="11"/>
      <color theme="7" tint="-0.249977111117893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2"/>
      <name val="GHEA Grapalat"/>
      <family val="3"/>
    </font>
    <font>
      <b/>
      <sz val="12"/>
      <name val="GHEA Grapalat"/>
      <family val="3"/>
    </font>
    <font>
      <b/>
      <i/>
      <u/>
      <sz val="11"/>
      <name val="GHEA Grapalat"/>
      <family val="3"/>
    </font>
    <font>
      <i/>
      <sz val="12"/>
      <name val="GHEA Grapalat"/>
      <family val="3"/>
    </font>
    <font>
      <i/>
      <sz val="11"/>
      <name val="GHEA Grapalat"/>
      <family val="3"/>
    </font>
    <font>
      <sz val="12"/>
      <name val="Arial"/>
      <family val="2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1"/>
      <color rgb="FF000000"/>
      <name val="GHEA Grapalat"/>
      <family val="3"/>
    </font>
    <font>
      <sz val="11"/>
      <color theme="1"/>
      <name val="GHEA Grapalat"/>
      <family val="3"/>
    </font>
    <font>
      <u/>
      <sz val="11"/>
      <color rgb="FF000000"/>
      <name val="GHEA Grapalat"/>
      <family val="3"/>
    </font>
    <font>
      <sz val="12"/>
      <name val="Courier New"/>
      <family val="3"/>
    </font>
    <font>
      <sz val="12"/>
      <color rgb="FF000000"/>
      <name val="Courier New"/>
      <family val="3"/>
    </font>
    <font>
      <sz val="12"/>
      <color rgb="FF000000"/>
      <name val="Calibri"/>
      <family val="2"/>
    </font>
    <font>
      <u/>
      <sz val="10"/>
      <name val="GHEA Grapalat"/>
      <family val="3"/>
    </font>
    <font>
      <i/>
      <sz val="10"/>
      <name val="GHEA Grapalat"/>
      <family val="3"/>
    </font>
    <font>
      <sz val="11"/>
      <color theme="1" tint="4.9989318521683403E-2"/>
      <name val="Arial"/>
      <family val="2"/>
    </font>
    <font>
      <b/>
      <sz val="11"/>
      <color theme="1" tint="4.9989318521683403E-2"/>
      <name val="GHEA Grapalat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1"/>
      <color theme="1" tint="4.9989318521683403E-2"/>
      <name val="GHEA Grapalat"/>
      <family val="3"/>
    </font>
    <font>
      <sz val="10"/>
      <color indexed="8"/>
      <name val="MS Sans Serif"/>
      <family val="2"/>
    </font>
    <font>
      <u/>
      <sz val="1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7" fillId="0" borderId="0"/>
    <xf numFmtId="166" fontId="1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3" borderId="0" applyNumberFormat="0" applyBorder="0" applyAlignment="0" applyProtection="0"/>
    <xf numFmtId="0" fontId="18" fillId="0" borderId="0"/>
    <xf numFmtId="0" fontId="7" fillId="0" borderId="0"/>
    <xf numFmtId="0" fontId="26" fillId="0" borderId="0"/>
    <xf numFmtId="166" fontId="7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7" fillId="0" borderId="0"/>
    <xf numFmtId="0" fontId="28" fillId="0" borderId="0"/>
    <xf numFmtId="0" fontId="51" fillId="0" borderId="0"/>
  </cellStyleXfs>
  <cellXfs count="547">
    <xf numFmtId="0" fontId="0" fillId="0" borderId="0" xfId="0"/>
    <xf numFmtId="0" fontId="3" fillId="0" borderId="0" xfId="0" applyFont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9" fillId="0" borderId="2" xfId="6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25" fillId="0" borderId="0" xfId="1" applyNumberFormat="1" applyFont="1" applyFill="1" applyAlignment="1">
      <alignment vertical="center" wrapText="1"/>
    </xf>
    <xf numFmtId="165" fontId="25" fillId="4" borderId="0" xfId="1" applyNumberFormat="1" applyFont="1" applyFill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2" borderId="2" xfId="6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9" fontId="13" fillId="0" borderId="2" xfId="0" quotePrefix="1" applyNumberFormat="1" applyFont="1" applyFill="1" applyBorder="1" applyAlignment="1">
      <alignment horizontal="center" vertical="center" wrapText="1"/>
    </xf>
    <xf numFmtId="165" fontId="25" fillId="2" borderId="0" xfId="1" applyNumberFormat="1" applyFont="1" applyFill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0" borderId="2" xfId="13" applyFont="1" applyFill="1" applyBorder="1" applyAlignment="1">
      <alignment horizontal="left" vertical="center" wrapText="1"/>
    </xf>
    <xf numFmtId="0" fontId="4" fillId="0" borderId="2" xfId="13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vertical="center" wrapText="1"/>
    </xf>
    <xf numFmtId="0" fontId="6" fillId="2" borderId="0" xfId="2" applyFont="1" applyFill="1"/>
    <xf numFmtId="0" fontId="8" fillId="2" borderId="0" xfId="5" applyFont="1" applyFill="1" applyAlignment="1">
      <alignment horizontal="right"/>
    </xf>
    <xf numFmtId="0" fontId="6" fillId="0" borderId="0" xfId="2" applyFont="1" applyFill="1"/>
    <xf numFmtId="164" fontId="8" fillId="0" borderId="0" xfId="0" applyNumberFormat="1" applyFont="1" applyAlignment="1">
      <alignment horizontal="center" vertical="center" wrapText="1"/>
    </xf>
    <xf numFmtId="0" fontId="6" fillId="2" borderId="0" xfId="2" applyFont="1" applyFill="1" applyAlignment="1">
      <alignment horizontal="right"/>
    </xf>
    <xf numFmtId="49" fontId="8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25" fillId="0" borderId="2" xfId="1" applyNumberFormat="1" applyFont="1" applyFill="1" applyBorder="1" applyAlignment="1">
      <alignment vertical="center" wrapText="1"/>
    </xf>
    <xf numFmtId="165" fontId="25" fillId="2" borderId="2" xfId="1" applyNumberFormat="1" applyFont="1" applyFill="1" applyBorder="1" applyAlignment="1">
      <alignment vertical="center" wrapText="1"/>
    </xf>
    <xf numFmtId="168" fontId="5" fillId="0" borderId="2" xfId="0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24" fillId="2" borderId="2" xfId="1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>
      <alignment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9" fontId="5" fillId="0" borderId="2" xfId="0" applyNumberFormat="1" applyFont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49" fontId="4" fillId="0" borderId="2" xfId="2" applyNumberFormat="1" applyFont="1" applyFill="1" applyBorder="1" applyAlignment="1">
      <alignment horizontal="center" vertical="top" wrapText="1"/>
    </xf>
    <xf numFmtId="0" fontId="30" fillId="0" borderId="45" xfId="2" applyFont="1" applyFill="1" applyBorder="1" applyAlignment="1">
      <alignment horizontal="center" vertical="top" wrapText="1"/>
    </xf>
    <xf numFmtId="49" fontId="4" fillId="0" borderId="45" xfId="2" applyNumberFormat="1" applyFont="1" applyFill="1" applyBorder="1" applyAlignment="1">
      <alignment horizontal="center" vertical="top" wrapText="1"/>
    </xf>
    <xf numFmtId="0" fontId="4" fillId="0" borderId="46" xfId="2" applyFont="1" applyFill="1" applyBorder="1" applyAlignment="1">
      <alignment horizontal="center" vertical="top" wrapText="1"/>
    </xf>
    <xf numFmtId="0" fontId="4" fillId="0" borderId="46" xfId="2" applyFont="1" applyFill="1" applyBorder="1" applyAlignment="1">
      <alignment vertical="top" wrapText="1"/>
    </xf>
    <xf numFmtId="49" fontId="4" fillId="0" borderId="2" xfId="3" applyNumberFormat="1" applyFont="1" applyFill="1" applyBorder="1" applyAlignment="1">
      <alignment horizontal="left" vertical="top" wrapText="1"/>
    </xf>
    <xf numFmtId="0" fontId="32" fillId="0" borderId="3" xfId="3" applyFont="1" applyFill="1" applyBorder="1" applyAlignment="1">
      <alignment horizontal="left" vertical="top" wrapText="1"/>
    </xf>
    <xf numFmtId="0" fontId="4" fillId="0" borderId="0" xfId="3" applyFont="1" applyFill="1"/>
    <xf numFmtId="0" fontId="4" fillId="0" borderId="2" xfId="3" applyFont="1" applyFill="1" applyBorder="1" applyAlignment="1">
      <alignment horizontal="left" vertical="top" wrapText="1"/>
    </xf>
    <xf numFmtId="0" fontId="4" fillId="0" borderId="2" xfId="2" applyFont="1" applyFill="1" applyBorder="1"/>
    <xf numFmtId="164" fontId="4" fillId="0" borderId="0" xfId="2" applyNumberFormat="1" applyFont="1" applyFill="1"/>
    <xf numFmtId="0" fontId="4" fillId="0" borderId="3" xfId="3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46" xfId="2" applyFont="1" applyFill="1" applyBorder="1" applyAlignment="1">
      <alignment horizontal="center" vertical="top" wrapText="1"/>
    </xf>
    <xf numFmtId="0" fontId="33" fillId="0" borderId="46" xfId="2" applyFont="1" applyFill="1" applyBorder="1" applyAlignment="1">
      <alignment horizontal="center" vertical="top" wrapText="1"/>
    </xf>
    <xf numFmtId="170" fontId="5" fillId="0" borderId="2" xfId="1" applyNumberFormat="1" applyFont="1" applyFill="1" applyBorder="1" applyAlignment="1">
      <alignment horizontal="center" vertical="top" wrapText="1"/>
    </xf>
    <xf numFmtId="170" fontId="31" fillId="0" borderId="2" xfId="1" applyNumberFormat="1" applyFont="1" applyFill="1" applyBorder="1" applyAlignment="1">
      <alignment horizontal="center" vertical="top" wrapText="1"/>
    </xf>
    <xf numFmtId="170" fontId="31" fillId="0" borderId="2" xfId="1" applyNumberFormat="1" applyFont="1" applyFill="1" applyBorder="1" applyAlignment="1">
      <alignment horizontal="center" wrapText="1"/>
    </xf>
    <xf numFmtId="170" fontId="4" fillId="0" borderId="2" xfId="1" applyNumberFormat="1" applyFont="1" applyFill="1" applyBorder="1" applyAlignment="1">
      <alignment horizontal="center" vertical="top" wrapText="1"/>
    </xf>
    <xf numFmtId="170" fontId="4" fillId="0" borderId="2" xfId="1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textRotation="90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center" vertical="top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15" fillId="0" borderId="0" xfId="18" applyFont="1" applyFill="1" applyAlignment="1">
      <alignment vertical="center" wrapText="1"/>
    </xf>
    <xf numFmtId="0" fontId="6" fillId="0" borderId="0" xfId="18" applyFont="1" applyFill="1"/>
    <xf numFmtId="0" fontId="8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164" fontId="39" fillId="0" borderId="2" xfId="1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6" borderId="2" xfId="0" applyFont="1" applyFill="1" applyBorder="1" applyAlignment="1">
      <alignment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vertical="center" wrapText="1"/>
    </xf>
    <xf numFmtId="0" fontId="38" fillId="2" borderId="2" xfId="0" applyFont="1" applyFill="1" applyBorder="1" applyAlignment="1">
      <alignment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38" fillId="6" borderId="4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5" fillId="7" borderId="0" xfId="0" applyFont="1" applyFill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  <xf numFmtId="0" fontId="43" fillId="8" borderId="0" xfId="0" applyFont="1" applyFill="1" applyBorder="1" applyAlignment="1">
      <alignment horizontal="center" vertical="center" wrapText="1"/>
    </xf>
    <xf numFmtId="0" fontId="41" fillId="8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0" fontId="44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justify" vertical="top" wrapText="1"/>
    </xf>
    <xf numFmtId="0" fontId="44" fillId="0" borderId="9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right" vertical="top"/>
    </xf>
    <xf numFmtId="168" fontId="6" fillId="0" borderId="2" xfId="0" applyNumberFormat="1" applyFont="1" applyFill="1" applyBorder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4" fontId="6" fillId="0" borderId="2" xfId="0" applyNumberFormat="1" applyFont="1" applyFill="1" applyBorder="1" applyAlignment="1">
      <alignment horizontal="center" vertical="center" wrapText="1"/>
    </xf>
    <xf numFmtId="171" fontId="6" fillId="0" borderId="2" xfId="0" applyNumberFormat="1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6" fillId="0" borderId="2" xfId="0" applyNumberFormat="1" applyFont="1" applyBorder="1" applyAlignment="1"/>
    <xf numFmtId="0" fontId="6" fillId="0" borderId="2" xfId="0" applyFont="1" applyBorder="1" applyAlignment="1">
      <alignment horizontal="left" vertical="top" wrapText="1"/>
    </xf>
    <xf numFmtId="0" fontId="46" fillId="0" borderId="0" xfId="0" applyFont="1"/>
    <xf numFmtId="0" fontId="48" fillId="0" borderId="0" xfId="0" applyFont="1"/>
    <xf numFmtId="0" fontId="49" fillId="0" borderId="0" xfId="0" applyFont="1" applyAlignment="1">
      <alignment horizontal="left" wrapText="1"/>
    </xf>
    <xf numFmtId="0" fontId="50" fillId="8" borderId="2" xfId="0" applyFont="1" applyFill="1" applyBorder="1" applyAlignment="1">
      <alignment horizontal="center" vertical="top" wrapText="1"/>
    </xf>
    <xf numFmtId="0" fontId="50" fillId="8" borderId="2" xfId="0" applyFont="1" applyFill="1" applyBorder="1" applyAlignment="1">
      <alignment vertical="top" wrapText="1"/>
    </xf>
    <xf numFmtId="164" fontId="5" fillId="2" borderId="0" xfId="0" applyNumberFormat="1" applyFont="1" applyFill="1" applyAlignment="1">
      <alignment horizontal="center" vertical="top" wrapText="1"/>
    </xf>
    <xf numFmtId="0" fontId="6" fillId="0" borderId="55" xfId="0" applyFont="1" applyBorder="1" applyAlignment="1">
      <alignment vertical="center" wrapText="1"/>
    </xf>
    <xf numFmtId="0" fontId="4" fillId="0" borderId="5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top" wrapText="1"/>
    </xf>
    <xf numFmtId="0" fontId="32" fillId="0" borderId="2" xfId="3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167" fontId="6" fillId="2" borderId="0" xfId="0" applyNumberFormat="1" applyFont="1" applyFill="1" applyBorder="1" applyAlignment="1">
      <alignment vertical="center" wrapText="1"/>
    </xf>
    <xf numFmtId="167" fontId="8" fillId="2" borderId="8" xfId="8" applyNumberFormat="1" applyFont="1" applyFill="1" applyBorder="1" applyAlignment="1">
      <alignment horizontal="center" vertical="center" wrapText="1"/>
    </xf>
    <xf numFmtId="167" fontId="8" fillId="2" borderId="27" xfId="8" applyNumberFormat="1" applyFont="1" applyFill="1" applyBorder="1" applyAlignment="1">
      <alignment horizontal="center" vertical="center" wrapText="1"/>
    </xf>
    <xf numFmtId="167" fontId="2" fillId="2" borderId="14" xfId="12" applyNumberFormat="1" applyFont="1" applyFill="1" applyBorder="1" applyAlignment="1">
      <alignment vertical="center" wrapText="1"/>
    </xf>
    <xf numFmtId="167" fontId="8" fillId="2" borderId="19" xfId="8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Border="1"/>
    <xf numFmtId="167" fontId="2" fillId="2" borderId="17" xfId="12" quotePrefix="1" applyNumberFormat="1" applyFont="1" applyFill="1" applyBorder="1" applyAlignment="1">
      <alignment vertical="center" wrapText="1"/>
    </xf>
    <xf numFmtId="167" fontId="8" fillId="2" borderId="21" xfId="8" applyNumberFormat="1" applyFont="1" applyFill="1" applyBorder="1" applyAlignment="1">
      <alignment horizontal="center" vertical="center" wrapText="1"/>
    </xf>
    <xf numFmtId="167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29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13" xfId="0" applyNumberFormat="1" applyFont="1" applyFill="1" applyBorder="1" applyAlignment="1">
      <alignment vertical="center" wrapText="1"/>
    </xf>
    <xf numFmtId="167" fontId="12" fillId="2" borderId="16" xfId="12" applyNumberFormat="1" applyFont="1" applyFill="1" applyBorder="1" applyAlignment="1">
      <alignment vertical="center" wrapText="1"/>
    </xf>
    <xf numFmtId="167" fontId="6" fillId="2" borderId="20" xfId="8" applyNumberFormat="1" applyFont="1" applyFill="1" applyBorder="1" applyAlignment="1">
      <alignment horizontal="center" vertical="center" wrapText="1"/>
    </xf>
    <xf numFmtId="167" fontId="6" fillId="2" borderId="7" xfId="8" applyNumberFormat="1" applyFont="1" applyFill="1" applyBorder="1" applyAlignment="1">
      <alignment horizontal="center" vertical="center" wrapText="1"/>
    </xf>
    <xf numFmtId="167" fontId="6" fillId="2" borderId="16" xfId="8" applyNumberFormat="1" applyFont="1" applyFill="1" applyBorder="1" applyAlignment="1">
      <alignment horizontal="center" vertical="center" wrapText="1"/>
    </xf>
    <xf numFmtId="167" fontId="19" fillId="2" borderId="26" xfId="11" applyNumberFormat="1" applyFont="1" applyFill="1" applyBorder="1" applyAlignment="1">
      <alignment horizontal="center" vertical="center" wrapText="1"/>
    </xf>
    <xf numFmtId="167" fontId="19" fillId="2" borderId="0" xfId="11" applyNumberFormat="1" applyFont="1" applyFill="1" applyBorder="1" applyAlignment="1">
      <alignment horizontal="center" vertical="center" wrapText="1"/>
    </xf>
    <xf numFmtId="167" fontId="19" fillId="2" borderId="27" xfId="11" applyNumberFormat="1" applyFont="1" applyFill="1" applyBorder="1" applyAlignment="1">
      <alignment horizontal="center" vertical="center" wrapText="1"/>
    </xf>
    <xf numFmtId="167" fontId="12" fillId="2" borderId="15" xfId="12" applyNumberFormat="1" applyFont="1" applyFill="1" applyBorder="1" applyAlignment="1">
      <alignment horizontal="left" vertical="center" wrapText="1"/>
    </xf>
    <xf numFmtId="167" fontId="6" fillId="2" borderId="2" xfId="8" applyNumberFormat="1" applyFont="1" applyFill="1" applyBorder="1" applyAlignment="1">
      <alignment horizontal="center" vertical="center" wrapText="1"/>
    </xf>
    <xf numFmtId="167" fontId="6" fillId="2" borderId="15" xfId="8" applyNumberFormat="1" applyFont="1" applyFill="1" applyBorder="1" applyAlignment="1">
      <alignment horizontal="center" vertical="center" wrapText="1"/>
    </xf>
    <xf numFmtId="167" fontId="6" fillId="2" borderId="22" xfId="8" applyNumberFormat="1" applyFont="1" applyFill="1" applyBorder="1" applyAlignment="1">
      <alignment horizontal="center" vertical="center" wrapText="1"/>
    </xf>
    <xf numFmtId="167" fontId="6" fillId="2" borderId="23" xfId="8" applyNumberFormat="1" applyFont="1" applyFill="1" applyBorder="1" applyAlignment="1">
      <alignment horizontal="center" vertical="center" wrapText="1"/>
    </xf>
    <xf numFmtId="167" fontId="12" fillId="2" borderId="30" xfId="12" applyNumberFormat="1" applyFont="1" applyFill="1" applyBorder="1" applyAlignment="1">
      <alignment horizontal="left" vertical="center" wrapText="1"/>
    </xf>
    <xf numFmtId="167" fontId="2" fillId="2" borderId="35" xfId="0" applyNumberFormat="1" applyFont="1" applyFill="1" applyBorder="1" applyAlignment="1">
      <alignment vertical="center" wrapText="1"/>
    </xf>
    <xf numFmtId="167" fontId="12" fillId="2" borderId="1" xfId="12" applyNumberFormat="1" applyFont="1" applyFill="1" applyBorder="1" applyAlignment="1">
      <alignment vertical="center" wrapText="1"/>
    </xf>
    <xf numFmtId="167" fontId="12" fillId="2" borderId="6" xfId="12" applyNumberFormat="1" applyFont="1" applyFill="1" applyBorder="1" applyAlignment="1">
      <alignment horizontal="left" vertical="center" wrapText="1"/>
    </xf>
    <xf numFmtId="167" fontId="12" fillId="2" borderId="1" xfId="12" applyNumberFormat="1" applyFont="1" applyFill="1" applyBorder="1" applyAlignment="1">
      <alignment horizontal="left" vertical="center" wrapText="1"/>
    </xf>
    <xf numFmtId="167" fontId="8" fillId="2" borderId="33" xfId="8" applyNumberFormat="1" applyFont="1" applyFill="1" applyBorder="1" applyAlignment="1">
      <alignment horizontal="center" vertical="center" wrapText="1"/>
    </xf>
    <xf numFmtId="167" fontId="8" fillId="2" borderId="40" xfId="8" applyNumberFormat="1" applyFont="1" applyFill="1" applyBorder="1" applyAlignment="1">
      <alignment horizontal="center" vertical="center" wrapText="1"/>
    </xf>
    <xf numFmtId="167" fontId="8" fillId="2" borderId="37" xfId="8" applyNumberFormat="1" applyFont="1" applyFill="1" applyBorder="1" applyAlignment="1">
      <alignment horizontal="center" vertical="center" wrapText="1"/>
    </xf>
    <xf numFmtId="167" fontId="8" fillId="2" borderId="31" xfId="8" applyNumberFormat="1" applyFont="1" applyFill="1" applyBorder="1" applyAlignment="1">
      <alignment horizontal="center" vertical="center" wrapText="1"/>
    </xf>
    <xf numFmtId="167" fontId="8" fillId="2" borderId="24" xfId="8" applyNumberFormat="1" applyFont="1" applyFill="1" applyBorder="1" applyAlignment="1">
      <alignment horizontal="center" vertical="center" wrapText="1"/>
    </xf>
    <xf numFmtId="167" fontId="8" fillId="2" borderId="32" xfId="8" applyNumberFormat="1" applyFont="1" applyFill="1" applyBorder="1" applyAlignment="1">
      <alignment horizontal="center" vertical="center" wrapText="1"/>
    </xf>
    <xf numFmtId="167" fontId="6" fillId="2" borderId="64" xfId="8" applyNumberFormat="1" applyFont="1" applyFill="1" applyBorder="1" applyAlignment="1">
      <alignment horizontal="center" vertical="center" wrapText="1"/>
    </xf>
    <xf numFmtId="167" fontId="6" fillId="2" borderId="65" xfId="8" applyNumberFormat="1" applyFont="1" applyFill="1" applyBorder="1" applyAlignment="1">
      <alignment horizontal="center" vertical="center" wrapText="1"/>
    </xf>
    <xf numFmtId="167" fontId="6" fillId="2" borderId="66" xfId="8" applyNumberFormat="1" applyFont="1" applyFill="1" applyBorder="1" applyAlignment="1">
      <alignment horizontal="center" vertical="center" wrapText="1"/>
    </xf>
    <xf numFmtId="167" fontId="6" fillId="2" borderId="67" xfId="8" applyNumberFormat="1" applyFont="1" applyFill="1" applyBorder="1" applyAlignment="1">
      <alignment horizontal="center" vertical="center" wrapText="1"/>
    </xf>
    <xf numFmtId="167" fontId="6" fillId="2" borderId="68" xfId="8" applyNumberFormat="1" applyFont="1" applyFill="1" applyBorder="1" applyAlignment="1">
      <alignment horizontal="center" vertical="center" wrapText="1"/>
    </xf>
    <xf numFmtId="167" fontId="6" fillId="2" borderId="69" xfId="8" applyNumberFormat="1" applyFont="1" applyFill="1" applyBorder="1" applyAlignment="1">
      <alignment horizontal="center" vertical="center" wrapText="1"/>
    </xf>
    <xf numFmtId="167" fontId="6" fillId="2" borderId="70" xfId="8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2" fontId="6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right" vertical="top"/>
    </xf>
    <xf numFmtId="164" fontId="12" fillId="2" borderId="2" xfId="1" applyNumberFormat="1" applyFont="1" applyFill="1" applyBorder="1" applyAlignment="1">
      <alignment horizontal="center" vertical="center" wrapText="1"/>
    </xf>
    <xf numFmtId="172" fontId="12" fillId="0" borderId="2" xfId="1" applyNumberFormat="1" applyFont="1" applyBorder="1" applyAlignment="1">
      <alignment horizontal="center" vertical="center" wrapText="1"/>
    </xf>
    <xf numFmtId="172" fontId="12" fillId="0" borderId="2" xfId="1" applyNumberFormat="1" applyFont="1" applyFill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71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/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8" fontId="5" fillId="0" borderId="2" xfId="0" applyNumberFormat="1" applyFont="1" applyBorder="1" applyAlignment="1">
      <alignment horizontal="center" wrapText="1"/>
    </xf>
    <xf numFmtId="168" fontId="4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8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165" fontId="4" fillId="8" borderId="5" xfId="0" applyNumberFormat="1" applyFont="1" applyFill="1" applyBorder="1" applyAlignment="1">
      <alignment horizontal="center" vertical="center" wrapText="1"/>
    </xf>
    <xf numFmtId="165" fontId="4" fillId="8" borderId="8" xfId="0" applyNumberFormat="1" applyFont="1" applyFill="1" applyBorder="1" applyAlignment="1">
      <alignment horizontal="center" vertical="center" wrapText="1"/>
    </xf>
    <xf numFmtId="165" fontId="4" fillId="8" borderId="7" xfId="0" applyNumberFormat="1" applyFont="1" applyFill="1" applyBorder="1" applyAlignment="1">
      <alignment horizontal="center" vertical="center" wrapText="1"/>
    </xf>
    <xf numFmtId="164" fontId="8" fillId="9" borderId="2" xfId="1" applyNumberFormat="1" applyFont="1" applyFill="1" applyBorder="1" applyAlignment="1">
      <alignment horizontal="center" vertical="center" wrapText="1"/>
    </xf>
    <xf numFmtId="168" fontId="4" fillId="0" borderId="2" xfId="0" applyNumberFormat="1" applyFont="1" applyBorder="1" applyAlignment="1">
      <alignment vertical="center" wrapText="1"/>
    </xf>
    <xf numFmtId="0" fontId="9" fillId="9" borderId="2" xfId="0" applyFont="1" applyFill="1" applyBorder="1" applyAlignment="1">
      <alignment horizontal="left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13" fillId="10" borderId="2" xfId="0" applyNumberFormat="1" applyFont="1" applyFill="1" applyBorder="1" applyAlignment="1">
      <alignment horizontal="center" vertical="center" wrapText="1"/>
    </xf>
    <xf numFmtId="164" fontId="8" fillId="10" borderId="2" xfId="1" applyNumberFormat="1" applyFont="1" applyFill="1" applyBorder="1" applyAlignment="1">
      <alignment horizontal="center" vertical="center" wrapText="1"/>
    </xf>
    <xf numFmtId="0" fontId="9" fillId="10" borderId="2" xfId="6" applyNumberFormat="1" applyFont="1" applyFill="1" applyBorder="1" applyAlignment="1">
      <alignment horizontal="left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64" fontId="8" fillId="10" borderId="2" xfId="0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13" fillId="2" borderId="7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 wrapText="1"/>
    </xf>
    <xf numFmtId="168" fontId="5" fillId="0" borderId="2" xfId="0" applyNumberFormat="1" applyFont="1" applyBorder="1" applyAlignment="1">
      <alignment vertical="center" wrapText="1"/>
    </xf>
    <xf numFmtId="164" fontId="13" fillId="9" borderId="2" xfId="1" applyNumberFormat="1" applyFont="1" applyFill="1" applyBorder="1" applyAlignment="1">
      <alignment horizontal="center" vertical="center" wrapText="1"/>
    </xf>
    <xf numFmtId="165" fontId="5" fillId="9" borderId="2" xfId="1" applyNumberFormat="1" applyFont="1" applyFill="1" applyBorder="1" applyAlignment="1">
      <alignment vertical="center" wrapText="1"/>
    </xf>
    <xf numFmtId="172" fontId="5" fillId="0" borderId="2" xfId="1" applyNumberFormat="1" applyFont="1" applyBorder="1" applyAlignment="1">
      <alignment horizontal="center" vertical="center" wrapText="1"/>
    </xf>
    <xf numFmtId="172" fontId="4" fillId="0" borderId="2" xfId="1" applyNumberFormat="1" applyFont="1" applyBorder="1" applyAlignment="1">
      <alignment vertical="center" wrapText="1"/>
    </xf>
    <xf numFmtId="172" fontId="4" fillId="0" borderId="2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1" fillId="0" borderId="0" xfId="18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/>
    </xf>
    <xf numFmtId="0" fontId="6" fillId="0" borderId="47" xfId="0" applyFont="1" applyFill="1" applyBorder="1" applyAlignment="1">
      <alignment vertical="top"/>
    </xf>
    <xf numFmtId="0" fontId="6" fillId="0" borderId="4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11" borderId="2" xfId="0" applyFont="1" applyFill="1" applyBorder="1"/>
    <xf numFmtId="0" fontId="15" fillId="11" borderId="2" xfId="18" applyFont="1" applyFill="1" applyBorder="1" applyAlignment="1">
      <alignment horizontal="center" vertical="center" wrapText="1"/>
    </xf>
    <xf numFmtId="0" fontId="13" fillId="11" borderId="2" xfId="18" applyFont="1" applyFill="1" applyBorder="1" applyAlignment="1">
      <alignment horizontal="left" vertical="center" wrapText="1"/>
    </xf>
    <xf numFmtId="0" fontId="13" fillId="11" borderId="2" xfId="18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 indent="1"/>
    </xf>
    <xf numFmtId="0" fontId="52" fillId="2" borderId="2" xfId="0" applyFont="1" applyFill="1" applyBorder="1" applyAlignment="1">
      <alignment horizontal="left" wrapText="1" indent="1"/>
    </xf>
    <xf numFmtId="0" fontId="4" fillId="2" borderId="2" xfId="0" applyFont="1" applyFill="1" applyBorder="1" applyAlignment="1">
      <alignment horizontal="left" wrapText="1" indent="2"/>
    </xf>
    <xf numFmtId="0" fontId="4" fillId="11" borderId="2" xfId="0" applyFont="1" applyFill="1" applyBorder="1"/>
    <xf numFmtId="0" fontId="4" fillId="0" borderId="2" xfId="0" applyFont="1" applyBorder="1" applyAlignment="1">
      <alignment wrapText="1"/>
    </xf>
    <xf numFmtId="0" fontId="52" fillId="11" borderId="2" xfId="0" applyFont="1" applyFill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4"/>
    </xf>
    <xf numFmtId="0" fontId="4" fillId="0" borderId="2" xfId="3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12" fillId="0" borderId="0" xfId="18" applyFont="1" applyFill="1"/>
    <xf numFmtId="0" fontId="52" fillId="0" borderId="2" xfId="0" applyFont="1" applyFill="1" applyBorder="1" applyAlignment="1">
      <alignment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165" fontId="4" fillId="0" borderId="2" xfId="1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2" fillId="0" borderId="2" xfId="18" applyFont="1" applyFill="1" applyBorder="1"/>
    <xf numFmtId="0" fontId="52" fillId="0" borderId="2" xfId="0" applyFont="1" applyFill="1" applyBorder="1" applyAlignment="1">
      <alignment vertical="top" wrapText="1"/>
    </xf>
    <xf numFmtId="172" fontId="12" fillId="0" borderId="2" xfId="1" applyNumberFormat="1" applyFont="1" applyFill="1" applyBorder="1"/>
    <xf numFmtId="172" fontId="47" fillId="0" borderId="0" xfId="1" applyNumberFormat="1" applyFont="1" applyFill="1" applyAlignment="1">
      <alignment horizontal="right"/>
    </xf>
    <xf numFmtId="172" fontId="47" fillId="0" borderId="0" xfId="1" applyNumberFormat="1" applyFont="1" applyFill="1" applyAlignment="1">
      <alignment horizontal="center" wrapText="1"/>
    </xf>
    <xf numFmtId="172" fontId="48" fillId="0" borderId="0" xfId="1" applyNumberFormat="1" applyFont="1"/>
    <xf numFmtId="172" fontId="50" fillId="8" borderId="2" xfId="1" applyNumberFormat="1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49" fontId="4" fillId="2" borderId="2" xfId="19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2" borderId="2" xfId="1" applyNumberFormat="1" applyFont="1" applyFill="1" applyBorder="1" applyAlignment="1">
      <alignment horizontal="left" vertical="center" wrapText="1"/>
    </xf>
    <xf numFmtId="0" fontId="4" fillId="2" borderId="2" xfId="6" applyNumberFormat="1" applyFont="1" applyFill="1" applyBorder="1" applyAlignment="1">
      <alignment horizontal="left" vertical="center" wrapText="1"/>
    </xf>
    <xf numFmtId="172" fontId="46" fillId="0" borderId="0" xfId="0" applyNumberFormat="1" applyFont="1"/>
    <xf numFmtId="0" fontId="50" fillId="8" borderId="2" xfId="0" applyFont="1" applyFill="1" applyBorder="1" applyAlignment="1">
      <alignment horizontal="left" wrapText="1"/>
    </xf>
    <xf numFmtId="0" fontId="50" fillId="2" borderId="2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left" wrapText="1"/>
    </xf>
    <xf numFmtId="0" fontId="46" fillId="2" borderId="0" xfId="0" applyFont="1" applyFill="1"/>
    <xf numFmtId="0" fontId="50" fillId="8" borderId="2" xfId="0" applyFont="1" applyFill="1" applyBorder="1" applyAlignment="1">
      <alignment horizontal="center" vertical="center" wrapText="1"/>
    </xf>
    <xf numFmtId="173" fontId="48" fillId="0" borderId="0" xfId="0" applyNumberFormat="1" applyFont="1"/>
    <xf numFmtId="172" fontId="50" fillId="8" borderId="2" xfId="1" applyNumberFormat="1" applyFont="1" applyFill="1" applyBorder="1" applyAlignment="1">
      <alignment vertical="top" wrapText="1"/>
    </xf>
    <xf numFmtId="0" fontId="47" fillId="8" borderId="2" xfId="0" applyFont="1" applyFill="1" applyBorder="1" applyAlignment="1">
      <alignment horizontal="center" wrapText="1"/>
    </xf>
    <xf numFmtId="167" fontId="47" fillId="8" borderId="2" xfId="0" applyNumberFormat="1" applyFont="1" applyFill="1" applyBorder="1" applyAlignment="1">
      <alignment horizontal="center" wrapText="1"/>
    </xf>
    <xf numFmtId="0" fontId="2" fillId="0" borderId="0" xfId="5" applyFont="1" applyFill="1" applyAlignment="1">
      <alignment horizontal="right"/>
    </xf>
    <xf numFmtId="0" fontId="5" fillId="0" borderId="0" xfId="2" applyFont="1" applyFill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29" fillId="0" borderId="7" xfId="0" applyFont="1" applyBorder="1" applyAlignment="1">
      <alignment vertical="center"/>
    </xf>
    <xf numFmtId="0" fontId="12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168" fontId="5" fillId="0" borderId="0" xfId="0" applyNumberFormat="1" applyFont="1" applyAlignment="1">
      <alignment horizontal="center" wrapText="1"/>
    </xf>
    <xf numFmtId="0" fontId="8" fillId="2" borderId="0" xfId="5" applyFont="1" applyFill="1" applyAlignment="1">
      <alignment horizontal="right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4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44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textRotation="90" wrapText="1"/>
    </xf>
    <xf numFmtId="49" fontId="11" fillId="0" borderId="8" xfId="0" applyNumberFormat="1" applyFont="1" applyFill="1" applyBorder="1" applyAlignment="1">
      <alignment horizontal="center" vertical="center" textRotation="90" wrapText="1"/>
    </xf>
    <xf numFmtId="49" fontId="11" fillId="0" borderId="7" xfId="0" applyNumberFormat="1" applyFont="1" applyFill="1" applyBorder="1" applyAlignment="1">
      <alignment horizontal="center" vertical="center" textRotation="90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2" xfId="14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textRotation="90" wrapText="1"/>
    </xf>
    <xf numFmtId="14" fontId="6" fillId="2" borderId="7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167" fontId="6" fillId="2" borderId="38" xfId="0" applyNumberFormat="1" applyFont="1" applyFill="1" applyBorder="1" applyAlignment="1">
      <alignment horizontal="center" vertical="center" textRotation="90" wrapText="1"/>
    </xf>
    <xf numFmtId="167" fontId="6" fillId="2" borderId="39" xfId="0" applyNumberFormat="1" applyFont="1" applyFill="1" applyBorder="1" applyAlignment="1">
      <alignment horizontal="center" vertical="center" textRotation="90" wrapText="1"/>
    </xf>
    <xf numFmtId="167" fontId="6" fillId="2" borderId="31" xfId="0" applyNumberFormat="1" applyFont="1" applyFill="1" applyBorder="1" applyAlignment="1">
      <alignment horizontal="center" vertical="center" textRotation="90" wrapText="1"/>
    </xf>
    <xf numFmtId="167" fontId="6" fillId="2" borderId="40" xfId="0" applyNumberFormat="1" applyFont="1" applyFill="1" applyBorder="1" applyAlignment="1">
      <alignment horizontal="center" vertical="center" textRotation="90" wrapText="1"/>
    </xf>
    <xf numFmtId="167" fontId="6" fillId="2" borderId="8" xfId="0" applyNumberFormat="1" applyFont="1" applyFill="1" applyBorder="1" applyAlignment="1">
      <alignment horizontal="center" vertical="center" textRotation="90" wrapText="1"/>
    </xf>
    <xf numFmtId="167" fontId="6" fillId="2" borderId="24" xfId="0" applyNumberFormat="1" applyFont="1" applyFill="1" applyBorder="1" applyAlignment="1">
      <alignment horizontal="center" vertical="center" textRotation="90" wrapText="1"/>
    </xf>
    <xf numFmtId="167" fontId="6" fillId="2" borderId="41" xfId="0" applyNumberFormat="1" applyFont="1" applyFill="1" applyBorder="1" applyAlignment="1">
      <alignment horizontal="center" vertical="center" textRotation="90" wrapText="1"/>
    </xf>
    <xf numFmtId="167" fontId="6" fillId="2" borderId="42" xfId="0" applyNumberFormat="1" applyFont="1" applyFill="1" applyBorder="1" applyAlignment="1">
      <alignment horizontal="center" vertical="center" textRotation="90" wrapText="1"/>
    </xf>
    <xf numFmtId="167" fontId="6" fillId="2" borderId="32" xfId="0" applyNumberFormat="1" applyFont="1" applyFill="1" applyBorder="1" applyAlignment="1">
      <alignment horizontal="center" vertical="center" textRotation="90" wrapText="1"/>
    </xf>
    <xf numFmtId="167" fontId="2" fillId="2" borderId="71" xfId="0" applyNumberFormat="1" applyFont="1" applyFill="1" applyBorder="1" applyAlignment="1">
      <alignment horizontal="center" vertical="center" wrapText="1"/>
    </xf>
    <xf numFmtId="167" fontId="2" fillId="2" borderId="72" xfId="0" applyNumberFormat="1" applyFont="1" applyFill="1" applyBorder="1" applyAlignment="1">
      <alignment horizontal="center" vertical="center" wrapText="1"/>
    </xf>
    <xf numFmtId="167" fontId="2" fillId="2" borderId="73" xfId="0" applyNumberFormat="1" applyFont="1" applyFill="1" applyBorder="1" applyAlignment="1">
      <alignment horizontal="center" vertical="center" wrapText="1"/>
    </xf>
    <xf numFmtId="167" fontId="8" fillId="2" borderId="38" xfId="8" applyNumberFormat="1" applyFont="1" applyFill="1" applyBorder="1" applyAlignment="1">
      <alignment horizontal="center" vertical="center" wrapText="1"/>
    </xf>
    <xf numFmtId="167" fontId="8" fillId="2" borderId="31" xfId="8" applyNumberFormat="1" applyFont="1" applyFill="1" applyBorder="1" applyAlignment="1">
      <alignment horizontal="center" vertical="center" wrapText="1"/>
    </xf>
    <xf numFmtId="167" fontId="8" fillId="2" borderId="34" xfId="8" applyNumberFormat="1" applyFont="1" applyFill="1" applyBorder="1" applyAlignment="1">
      <alignment horizontal="center" vertical="center" wrapText="1"/>
    </xf>
    <xf numFmtId="167" fontId="8" fillId="2" borderId="14" xfId="8" applyNumberFormat="1" applyFont="1" applyFill="1" applyBorder="1" applyAlignment="1">
      <alignment horizontal="center" vertical="center" wrapText="1"/>
    </xf>
    <xf numFmtId="167" fontId="19" fillId="2" borderId="33" xfId="11" applyNumberFormat="1" applyFont="1" applyFill="1" applyBorder="1" applyAlignment="1">
      <alignment horizontal="center" vertical="center"/>
    </xf>
    <xf numFmtId="167" fontId="19" fillId="2" borderId="36" xfId="11" applyNumberFormat="1" applyFont="1" applyFill="1" applyBorder="1" applyAlignment="1">
      <alignment horizontal="center" vertical="center"/>
    </xf>
    <xf numFmtId="167" fontId="19" fillId="2" borderId="37" xfId="11" applyNumberFormat="1" applyFont="1" applyFill="1" applyBorder="1" applyAlignment="1">
      <alignment horizontal="center" vertical="center"/>
    </xf>
    <xf numFmtId="167" fontId="19" fillId="2" borderId="26" xfId="11" applyNumberFormat="1" applyFont="1" applyFill="1" applyBorder="1" applyAlignment="1">
      <alignment horizontal="center" vertical="center"/>
    </xf>
    <xf numFmtId="167" fontId="19" fillId="2" borderId="0" xfId="11" applyNumberFormat="1" applyFont="1" applyFill="1" applyBorder="1" applyAlignment="1">
      <alignment horizontal="center" vertical="center"/>
    </xf>
    <xf numFmtId="167" fontId="19" fillId="2" borderId="27" xfId="11" applyNumberFormat="1" applyFont="1" applyFill="1" applyBorder="1" applyAlignment="1">
      <alignment horizontal="center" vertical="center"/>
    </xf>
    <xf numFmtId="167" fontId="19" fillId="2" borderId="62" xfId="11" applyNumberFormat="1" applyFont="1" applyFill="1" applyBorder="1" applyAlignment="1">
      <alignment horizontal="center" vertical="center"/>
    </xf>
    <xf numFmtId="167" fontId="19" fillId="2" borderId="63" xfId="11" applyNumberFormat="1" applyFont="1" applyFill="1" applyBorder="1" applyAlignment="1">
      <alignment horizontal="center" vertical="center"/>
    </xf>
    <xf numFmtId="167" fontId="19" fillId="2" borderId="18" xfId="11" applyNumberFormat="1" applyFont="1" applyFill="1" applyBorder="1" applyAlignment="1">
      <alignment horizontal="center" vertical="center"/>
    </xf>
    <xf numFmtId="167" fontId="6" fillId="2" borderId="33" xfId="0" applyNumberFormat="1" applyFont="1" applyFill="1" applyBorder="1" applyAlignment="1">
      <alignment horizontal="center"/>
    </xf>
    <xf numFmtId="167" fontId="6" fillId="2" borderId="36" xfId="0" applyNumberFormat="1" applyFont="1" applyFill="1" applyBorder="1" applyAlignment="1">
      <alignment horizontal="center"/>
    </xf>
    <xf numFmtId="167" fontId="6" fillId="2" borderId="37" xfId="0" applyNumberFormat="1" applyFont="1" applyFill="1" applyBorder="1" applyAlignment="1">
      <alignment horizontal="center"/>
    </xf>
    <xf numFmtId="167" fontId="6" fillId="2" borderId="62" xfId="0" applyNumberFormat="1" applyFont="1" applyFill="1" applyBorder="1" applyAlignment="1">
      <alignment horizontal="center"/>
    </xf>
    <xf numFmtId="167" fontId="6" fillId="2" borderId="63" xfId="0" applyNumberFormat="1" applyFont="1" applyFill="1" applyBorder="1" applyAlignment="1">
      <alignment horizontal="center"/>
    </xf>
    <xf numFmtId="167" fontId="6" fillId="2" borderId="18" xfId="0" applyNumberFormat="1" applyFont="1" applyFill="1" applyBorder="1" applyAlignment="1">
      <alignment horizontal="center"/>
    </xf>
    <xf numFmtId="167" fontId="19" fillId="2" borderId="33" xfId="11" applyNumberFormat="1" applyFont="1" applyFill="1" applyBorder="1" applyAlignment="1">
      <alignment horizontal="center" vertical="center" wrapText="1"/>
    </xf>
    <xf numFmtId="167" fontId="19" fillId="2" borderId="36" xfId="11" applyNumberFormat="1" applyFont="1" applyFill="1" applyBorder="1" applyAlignment="1">
      <alignment horizontal="center" vertical="center" wrapText="1"/>
    </xf>
    <xf numFmtId="167" fontId="19" fillId="2" borderId="37" xfId="1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34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47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/>
    </xf>
    <xf numFmtId="0" fontId="6" fillId="0" borderId="47" xfId="0" applyFont="1" applyFill="1" applyBorder="1" applyAlignment="1">
      <alignment vertical="top"/>
    </xf>
    <xf numFmtId="0" fontId="13" fillId="0" borderId="2" xfId="18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22" fillId="0" borderId="2" xfId="18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5" fillId="0" borderId="3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left" vertical="center" wrapText="1"/>
    </xf>
    <xf numFmtId="0" fontId="45" fillId="0" borderId="47" xfId="0" applyFont="1" applyFill="1" applyBorder="1" applyAlignment="1">
      <alignment horizontal="left" vertical="center" wrapText="1"/>
    </xf>
    <xf numFmtId="0" fontId="6" fillId="0" borderId="55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0" fontId="6" fillId="0" borderId="55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43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44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5" fillId="0" borderId="3" xfId="18" applyFont="1" applyFill="1" applyBorder="1" applyAlignment="1">
      <alignment horizontal="center" vertical="center" wrapText="1"/>
    </xf>
    <xf numFmtId="0" fontId="15" fillId="0" borderId="6" xfId="18" applyFont="1" applyFill="1" applyBorder="1" applyAlignment="1">
      <alignment horizontal="center" vertical="center" wrapText="1"/>
    </xf>
    <xf numFmtId="0" fontId="15" fillId="0" borderId="47" xfId="18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165" fontId="15" fillId="0" borderId="6" xfId="1" applyNumberFormat="1" applyFont="1" applyFill="1" applyBorder="1" applyAlignment="1">
      <alignment horizontal="center" vertical="center" wrapText="1"/>
    </xf>
    <xf numFmtId="165" fontId="15" fillId="0" borderId="47" xfId="1" applyNumberFormat="1" applyFont="1" applyFill="1" applyBorder="1" applyAlignment="1">
      <alignment horizontal="center" vertical="center" wrapText="1"/>
    </xf>
    <xf numFmtId="0" fontId="44" fillId="0" borderId="53" xfId="0" applyFont="1" applyBorder="1" applyAlignment="1">
      <alignment horizontal="left" vertical="center" wrapText="1"/>
    </xf>
    <xf numFmtId="0" fontId="6" fillId="0" borderId="55" xfId="0" applyFont="1" applyBorder="1" applyAlignment="1">
      <alignment vertical="top" wrapText="1"/>
    </xf>
    <xf numFmtId="0" fontId="6" fillId="0" borderId="56" xfId="0" applyFont="1" applyBorder="1" applyAlignment="1">
      <alignment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left" vertical="center" wrapText="1"/>
    </xf>
    <xf numFmtId="0" fontId="11" fillId="0" borderId="0" xfId="18" applyFont="1" applyFill="1" applyAlignment="1">
      <alignment horizontal="center" vertical="center" wrapText="1"/>
    </xf>
    <xf numFmtId="0" fontId="15" fillId="0" borderId="4" xfId="18" applyFont="1" applyFill="1" applyBorder="1" applyAlignment="1">
      <alignment horizontal="center" vertical="center" wrapText="1"/>
    </xf>
    <xf numFmtId="0" fontId="15" fillId="0" borderId="9" xfId="18" applyFont="1" applyFill="1" applyBorder="1" applyAlignment="1">
      <alignment horizontal="center" vertical="center" wrapText="1"/>
    </xf>
    <xf numFmtId="0" fontId="15" fillId="0" borderId="10" xfId="18" applyFont="1" applyFill="1" applyBorder="1" applyAlignment="1">
      <alignment horizontal="center" vertical="center" wrapText="1"/>
    </xf>
    <xf numFmtId="0" fontId="15" fillId="0" borderId="43" xfId="18" applyFont="1" applyFill="1" applyBorder="1" applyAlignment="1">
      <alignment horizontal="center" vertical="center" wrapText="1"/>
    </xf>
    <xf numFmtId="0" fontId="15" fillId="0" borderId="0" xfId="18" applyFont="1" applyFill="1" applyBorder="1" applyAlignment="1">
      <alignment horizontal="center" vertical="center" wrapText="1"/>
    </xf>
    <xf numFmtId="0" fontId="15" fillId="0" borderId="44" xfId="18" applyFont="1" applyFill="1" applyBorder="1" applyAlignment="1">
      <alignment horizontal="center" vertical="center" wrapText="1"/>
    </xf>
    <xf numFmtId="0" fontId="15" fillId="0" borderId="11" xfId="18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12" xfId="18" applyFont="1" applyFill="1" applyBorder="1" applyAlignment="1">
      <alignment horizontal="center" vertical="center" wrapText="1"/>
    </xf>
    <xf numFmtId="0" fontId="16" fillId="0" borderId="3" xfId="18" applyFont="1" applyFill="1" applyBorder="1" applyAlignment="1">
      <alignment horizontal="left" vertical="center" wrapText="1"/>
    </xf>
    <xf numFmtId="0" fontId="16" fillId="0" borderId="6" xfId="18" applyFont="1" applyFill="1" applyBorder="1" applyAlignment="1">
      <alignment horizontal="left" vertical="center" wrapText="1"/>
    </xf>
    <xf numFmtId="0" fontId="16" fillId="0" borderId="47" xfId="18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8" borderId="5" xfId="0" applyNumberFormat="1" applyFont="1" applyFill="1" applyBorder="1" applyAlignment="1">
      <alignment horizontal="center" vertical="center" wrapText="1"/>
    </xf>
    <xf numFmtId="165" fontId="4" fillId="8" borderId="8" xfId="0" applyNumberFormat="1" applyFont="1" applyFill="1" applyBorder="1" applyAlignment="1">
      <alignment horizontal="center" vertical="center" wrapText="1"/>
    </xf>
    <xf numFmtId="165" fontId="4" fillId="8" borderId="7" xfId="0" applyNumberFormat="1" applyFont="1" applyFill="1" applyBorder="1" applyAlignment="1">
      <alignment horizontal="center" vertical="center" wrapText="1"/>
    </xf>
    <xf numFmtId="0" fontId="38" fillId="0" borderId="5" xfId="0" quotePrefix="1" applyFont="1" applyFill="1" applyBorder="1" applyAlignment="1">
      <alignment horizontal="center" vertical="center" wrapText="1"/>
    </xf>
    <xf numFmtId="0" fontId="38" fillId="0" borderId="8" xfId="0" quotePrefix="1" applyFont="1" applyFill="1" applyBorder="1" applyAlignment="1">
      <alignment horizontal="center" vertical="center" wrapText="1"/>
    </xf>
    <xf numFmtId="0" fontId="38" fillId="0" borderId="7" xfId="0" quotePrefix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165" fontId="4" fillId="8" borderId="2" xfId="0" applyNumberFormat="1" applyFont="1" applyFill="1" applyBorder="1" applyAlignment="1">
      <alignment horizontal="center" vertical="top" wrapText="1"/>
    </xf>
    <xf numFmtId="0" fontId="35" fillId="0" borderId="10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left" wrapText="1"/>
    </xf>
    <xf numFmtId="0" fontId="50" fillId="8" borderId="6" xfId="0" applyFont="1" applyFill="1" applyBorder="1" applyAlignment="1">
      <alignment horizontal="left" wrapText="1"/>
    </xf>
    <xf numFmtId="0" fontId="50" fillId="8" borderId="47" xfId="0" applyFont="1" applyFill="1" applyBorder="1" applyAlignment="1">
      <alignment horizontal="left" wrapText="1"/>
    </xf>
    <xf numFmtId="0" fontId="50" fillId="8" borderId="2" xfId="0" applyFont="1" applyFill="1" applyBorder="1" applyAlignment="1">
      <alignment horizontal="center" wrapText="1"/>
    </xf>
    <xf numFmtId="172" fontId="50" fillId="8" borderId="5" xfId="1" applyNumberFormat="1" applyFont="1" applyFill="1" applyBorder="1" applyAlignment="1">
      <alignment horizontal="center" wrapText="1"/>
    </xf>
    <xf numFmtId="172" fontId="50" fillId="8" borderId="7" xfId="1" applyNumberFormat="1" applyFont="1" applyFill="1" applyBorder="1" applyAlignment="1">
      <alignment horizontal="center" wrapText="1"/>
    </xf>
    <xf numFmtId="0" fontId="50" fillId="8" borderId="10" xfId="0" applyFont="1" applyFill="1" applyBorder="1" applyAlignment="1">
      <alignment horizontal="center" wrapText="1"/>
    </xf>
    <xf numFmtId="0" fontId="50" fillId="8" borderId="44" xfId="0" applyFont="1" applyFill="1" applyBorder="1" applyAlignment="1">
      <alignment horizontal="center" wrapText="1"/>
    </xf>
    <xf numFmtId="0" fontId="50" fillId="8" borderId="12" xfId="0" applyFont="1" applyFill="1" applyBorder="1" applyAlignment="1">
      <alignment horizontal="center" wrapText="1"/>
    </xf>
    <xf numFmtId="0" fontId="50" fillId="8" borderId="5" xfId="0" applyFont="1" applyFill="1" applyBorder="1" applyAlignment="1">
      <alignment horizontal="center" wrapText="1"/>
    </xf>
    <xf numFmtId="0" fontId="50" fillId="8" borderId="8" xfId="0" applyFont="1" applyFill="1" applyBorder="1" applyAlignment="1">
      <alignment horizontal="center" wrapText="1"/>
    </xf>
    <xf numFmtId="0" fontId="50" fillId="8" borderId="7" xfId="0" applyFont="1" applyFill="1" applyBorder="1" applyAlignment="1">
      <alignment horizontal="center" wrapText="1"/>
    </xf>
    <xf numFmtId="172" fontId="50" fillId="8" borderId="8" xfId="1" applyNumberFormat="1" applyFont="1" applyFill="1" applyBorder="1" applyAlignment="1">
      <alignment horizontal="center" wrapText="1"/>
    </xf>
    <xf numFmtId="172" fontId="47" fillId="0" borderId="0" xfId="1" applyNumberFormat="1" applyFont="1" applyFill="1" applyAlignment="1">
      <alignment horizontal="right"/>
    </xf>
    <xf numFmtId="0" fontId="47" fillId="0" borderId="0" xfId="3" applyFont="1" applyFill="1" applyBorder="1" applyAlignment="1">
      <alignment horizontal="center" vertical="center" wrapText="1"/>
    </xf>
    <xf numFmtId="165" fontId="2" fillId="0" borderId="43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wrapText="1"/>
    </xf>
    <xf numFmtId="0" fontId="50" fillId="8" borderId="6" xfId="0" applyFont="1" applyFill="1" applyBorder="1" applyAlignment="1">
      <alignment horizontal="center" wrapText="1"/>
    </xf>
    <xf numFmtId="0" fontId="50" fillId="8" borderId="47" xfId="0" applyFont="1" applyFill="1" applyBorder="1" applyAlignment="1">
      <alignment horizontal="center" wrapText="1"/>
    </xf>
    <xf numFmtId="167" fontId="47" fillId="5" borderId="2" xfId="0" applyNumberFormat="1" applyFont="1" applyFill="1" applyBorder="1" applyAlignment="1">
      <alignment horizontal="center" wrapText="1"/>
    </xf>
  </cellXfs>
  <cellStyles count="20">
    <cellStyle name="Comma 2" xfId="9"/>
    <cellStyle name="Comma 2 2" xfId="16"/>
    <cellStyle name="Comma 3" xfId="10"/>
    <cellStyle name="Normal 2" xfId="2"/>
    <cellStyle name="Normal 3" xfId="17"/>
    <cellStyle name="Normal 4" xfId="6"/>
    <cellStyle name="Normal_2006plan" xfId="4"/>
    <cellStyle name="Normal_2006plan 2" xfId="13"/>
    <cellStyle name="Normal_Book2" xfId="12"/>
    <cellStyle name="Normal_Shushan" xfId="18"/>
    <cellStyle name="Style 1" xfId="19"/>
    <cellStyle name="Нейтральный 2" xfId="11"/>
    <cellStyle name="Обычный" xfId="0" builtinId="0"/>
    <cellStyle name="Обычный 2" xfId="3"/>
    <cellStyle name="Обычный 3" xfId="5"/>
    <cellStyle name="Обычный 4" xfId="7"/>
    <cellStyle name="Обычный 5" xfId="14"/>
    <cellStyle name="Финансовый" xfId="1" builtinId="3"/>
    <cellStyle name="Финансовый 2" xfId="8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7" zoomScale="93" zoomScaleNormal="100" zoomScaleSheetLayoutView="93" workbookViewId="0">
      <selection activeCell="D16" sqref="D16"/>
    </sheetView>
  </sheetViews>
  <sheetFormatPr defaultRowHeight="16.5" x14ac:dyDescent="0.3"/>
  <cols>
    <col min="1" max="2" width="7.28515625" style="93" customWidth="1"/>
    <col min="3" max="3" width="8.85546875" style="93" customWidth="1"/>
    <col min="4" max="4" width="42.85546875" style="94" customWidth="1"/>
    <col min="5" max="5" width="17.140625" style="94" customWidth="1"/>
    <col min="6" max="6" width="16.28515625" style="94" customWidth="1"/>
    <col min="7" max="7" width="16.5703125" style="94" customWidth="1"/>
    <col min="8" max="8" width="16.140625" style="93" customWidth="1"/>
    <col min="9" max="9" width="9.140625" style="93"/>
    <col min="10" max="10" width="11.7109375" style="93" bestFit="1" customWidth="1"/>
    <col min="11" max="259" width="9.140625" style="93"/>
    <col min="260" max="262" width="8.85546875" style="93" customWidth="1"/>
    <col min="263" max="263" width="39.42578125" style="93" customWidth="1"/>
    <col min="264" max="264" width="28.28515625" style="93" customWidth="1"/>
    <col min="265" max="265" width="9.140625" style="93"/>
    <col min="266" max="266" width="11.7109375" style="93" bestFit="1" customWidth="1"/>
    <col min="267" max="515" width="9.140625" style="93"/>
    <col min="516" max="518" width="8.85546875" style="93" customWidth="1"/>
    <col min="519" max="519" width="39.42578125" style="93" customWidth="1"/>
    <col min="520" max="520" width="28.28515625" style="93" customWidth="1"/>
    <col min="521" max="521" width="9.140625" style="93"/>
    <col min="522" max="522" width="11.7109375" style="93" bestFit="1" customWidth="1"/>
    <col min="523" max="771" width="9.140625" style="93"/>
    <col min="772" max="774" width="8.85546875" style="93" customWidth="1"/>
    <col min="775" max="775" width="39.42578125" style="93" customWidth="1"/>
    <col min="776" max="776" width="28.28515625" style="93" customWidth="1"/>
    <col min="777" max="777" width="9.140625" style="93"/>
    <col min="778" max="778" width="11.7109375" style="93" bestFit="1" customWidth="1"/>
    <col min="779" max="1027" width="9.140625" style="93"/>
    <col min="1028" max="1030" width="8.85546875" style="93" customWidth="1"/>
    <col min="1031" max="1031" width="39.42578125" style="93" customWidth="1"/>
    <col min="1032" max="1032" width="28.28515625" style="93" customWidth="1"/>
    <col min="1033" max="1033" width="9.140625" style="93"/>
    <col min="1034" max="1034" width="11.7109375" style="93" bestFit="1" customWidth="1"/>
    <col min="1035" max="1283" width="9.140625" style="93"/>
    <col min="1284" max="1286" width="8.85546875" style="93" customWidth="1"/>
    <col min="1287" max="1287" width="39.42578125" style="93" customWidth="1"/>
    <col min="1288" max="1288" width="28.28515625" style="93" customWidth="1"/>
    <col min="1289" max="1289" width="9.140625" style="93"/>
    <col min="1290" max="1290" width="11.7109375" style="93" bestFit="1" customWidth="1"/>
    <col min="1291" max="1539" width="9.140625" style="93"/>
    <col min="1540" max="1542" width="8.85546875" style="93" customWidth="1"/>
    <col min="1543" max="1543" width="39.42578125" style="93" customWidth="1"/>
    <col min="1544" max="1544" width="28.28515625" style="93" customWidth="1"/>
    <col min="1545" max="1545" width="9.140625" style="93"/>
    <col min="1546" max="1546" width="11.7109375" style="93" bestFit="1" customWidth="1"/>
    <col min="1547" max="1795" width="9.140625" style="93"/>
    <col min="1796" max="1798" width="8.85546875" style="93" customWidth="1"/>
    <col min="1799" max="1799" width="39.42578125" style="93" customWidth="1"/>
    <col min="1800" max="1800" width="28.28515625" style="93" customWidth="1"/>
    <col min="1801" max="1801" width="9.140625" style="93"/>
    <col min="1802" max="1802" width="11.7109375" style="93" bestFit="1" customWidth="1"/>
    <col min="1803" max="2051" width="9.140625" style="93"/>
    <col min="2052" max="2054" width="8.85546875" style="93" customWidth="1"/>
    <col min="2055" max="2055" width="39.42578125" style="93" customWidth="1"/>
    <col min="2056" max="2056" width="28.28515625" style="93" customWidth="1"/>
    <col min="2057" max="2057" width="9.140625" style="93"/>
    <col min="2058" max="2058" width="11.7109375" style="93" bestFit="1" customWidth="1"/>
    <col min="2059" max="2307" width="9.140625" style="93"/>
    <col min="2308" max="2310" width="8.85546875" style="93" customWidth="1"/>
    <col min="2311" max="2311" width="39.42578125" style="93" customWidth="1"/>
    <col min="2312" max="2312" width="28.28515625" style="93" customWidth="1"/>
    <col min="2313" max="2313" width="9.140625" style="93"/>
    <col min="2314" max="2314" width="11.7109375" style="93" bestFit="1" customWidth="1"/>
    <col min="2315" max="2563" width="9.140625" style="93"/>
    <col min="2564" max="2566" width="8.85546875" style="93" customWidth="1"/>
    <col min="2567" max="2567" width="39.42578125" style="93" customWidth="1"/>
    <col min="2568" max="2568" width="28.28515625" style="93" customWidth="1"/>
    <col min="2569" max="2569" width="9.140625" style="93"/>
    <col min="2570" max="2570" width="11.7109375" style="93" bestFit="1" customWidth="1"/>
    <col min="2571" max="2819" width="9.140625" style="93"/>
    <col min="2820" max="2822" width="8.85546875" style="93" customWidth="1"/>
    <col min="2823" max="2823" width="39.42578125" style="93" customWidth="1"/>
    <col min="2824" max="2824" width="28.28515625" style="93" customWidth="1"/>
    <col min="2825" max="2825" width="9.140625" style="93"/>
    <col min="2826" max="2826" width="11.7109375" style="93" bestFit="1" customWidth="1"/>
    <col min="2827" max="3075" width="9.140625" style="93"/>
    <col min="3076" max="3078" width="8.85546875" style="93" customWidth="1"/>
    <col min="3079" max="3079" width="39.42578125" style="93" customWidth="1"/>
    <col min="3080" max="3080" width="28.28515625" style="93" customWidth="1"/>
    <col min="3081" max="3081" width="9.140625" style="93"/>
    <col min="3082" max="3082" width="11.7109375" style="93" bestFit="1" customWidth="1"/>
    <col min="3083" max="3331" width="9.140625" style="93"/>
    <col min="3332" max="3334" width="8.85546875" style="93" customWidth="1"/>
    <col min="3335" max="3335" width="39.42578125" style="93" customWidth="1"/>
    <col min="3336" max="3336" width="28.28515625" style="93" customWidth="1"/>
    <col min="3337" max="3337" width="9.140625" style="93"/>
    <col min="3338" max="3338" width="11.7109375" style="93" bestFit="1" customWidth="1"/>
    <col min="3339" max="3587" width="9.140625" style="93"/>
    <col min="3588" max="3590" width="8.85546875" style="93" customWidth="1"/>
    <col min="3591" max="3591" width="39.42578125" style="93" customWidth="1"/>
    <col min="3592" max="3592" width="28.28515625" style="93" customWidth="1"/>
    <col min="3593" max="3593" width="9.140625" style="93"/>
    <col min="3594" max="3594" width="11.7109375" style="93" bestFit="1" customWidth="1"/>
    <col min="3595" max="3843" width="9.140625" style="93"/>
    <col min="3844" max="3846" width="8.85546875" style="93" customWidth="1"/>
    <col min="3847" max="3847" width="39.42578125" style="93" customWidth="1"/>
    <col min="3848" max="3848" width="28.28515625" style="93" customWidth="1"/>
    <col min="3849" max="3849" width="9.140625" style="93"/>
    <col min="3850" max="3850" width="11.7109375" style="93" bestFit="1" customWidth="1"/>
    <col min="3851" max="4099" width="9.140625" style="93"/>
    <col min="4100" max="4102" width="8.85546875" style="93" customWidth="1"/>
    <col min="4103" max="4103" width="39.42578125" style="93" customWidth="1"/>
    <col min="4104" max="4104" width="28.28515625" style="93" customWidth="1"/>
    <col min="4105" max="4105" width="9.140625" style="93"/>
    <col min="4106" max="4106" width="11.7109375" style="93" bestFit="1" customWidth="1"/>
    <col min="4107" max="4355" width="9.140625" style="93"/>
    <col min="4356" max="4358" width="8.85546875" style="93" customWidth="1"/>
    <col min="4359" max="4359" width="39.42578125" style="93" customWidth="1"/>
    <col min="4360" max="4360" width="28.28515625" style="93" customWidth="1"/>
    <col min="4361" max="4361" width="9.140625" style="93"/>
    <col min="4362" max="4362" width="11.7109375" style="93" bestFit="1" customWidth="1"/>
    <col min="4363" max="4611" width="9.140625" style="93"/>
    <col min="4612" max="4614" width="8.85546875" style="93" customWidth="1"/>
    <col min="4615" max="4615" width="39.42578125" style="93" customWidth="1"/>
    <col min="4616" max="4616" width="28.28515625" style="93" customWidth="1"/>
    <col min="4617" max="4617" width="9.140625" style="93"/>
    <col min="4618" max="4618" width="11.7109375" style="93" bestFit="1" customWidth="1"/>
    <col min="4619" max="4867" width="9.140625" style="93"/>
    <col min="4868" max="4870" width="8.85546875" style="93" customWidth="1"/>
    <col min="4871" max="4871" width="39.42578125" style="93" customWidth="1"/>
    <col min="4872" max="4872" width="28.28515625" style="93" customWidth="1"/>
    <col min="4873" max="4873" width="9.140625" style="93"/>
    <col min="4874" max="4874" width="11.7109375" style="93" bestFit="1" customWidth="1"/>
    <col min="4875" max="5123" width="9.140625" style="93"/>
    <col min="5124" max="5126" width="8.85546875" style="93" customWidth="1"/>
    <col min="5127" max="5127" width="39.42578125" style="93" customWidth="1"/>
    <col min="5128" max="5128" width="28.28515625" style="93" customWidth="1"/>
    <col min="5129" max="5129" width="9.140625" style="93"/>
    <col min="5130" max="5130" width="11.7109375" style="93" bestFit="1" customWidth="1"/>
    <col min="5131" max="5379" width="9.140625" style="93"/>
    <col min="5380" max="5382" width="8.85546875" style="93" customWidth="1"/>
    <col min="5383" max="5383" width="39.42578125" style="93" customWidth="1"/>
    <col min="5384" max="5384" width="28.28515625" style="93" customWidth="1"/>
    <col min="5385" max="5385" width="9.140625" style="93"/>
    <col min="5386" max="5386" width="11.7109375" style="93" bestFit="1" customWidth="1"/>
    <col min="5387" max="5635" width="9.140625" style="93"/>
    <col min="5636" max="5638" width="8.85546875" style="93" customWidth="1"/>
    <col min="5639" max="5639" width="39.42578125" style="93" customWidth="1"/>
    <col min="5640" max="5640" width="28.28515625" style="93" customWidth="1"/>
    <col min="5641" max="5641" width="9.140625" style="93"/>
    <col min="5642" max="5642" width="11.7109375" style="93" bestFit="1" customWidth="1"/>
    <col min="5643" max="5891" width="9.140625" style="93"/>
    <col min="5892" max="5894" width="8.85546875" style="93" customWidth="1"/>
    <col min="5895" max="5895" width="39.42578125" style="93" customWidth="1"/>
    <col min="5896" max="5896" width="28.28515625" style="93" customWidth="1"/>
    <col min="5897" max="5897" width="9.140625" style="93"/>
    <col min="5898" max="5898" width="11.7109375" style="93" bestFit="1" customWidth="1"/>
    <col min="5899" max="6147" width="9.140625" style="93"/>
    <col min="6148" max="6150" width="8.85546875" style="93" customWidth="1"/>
    <col min="6151" max="6151" width="39.42578125" style="93" customWidth="1"/>
    <col min="6152" max="6152" width="28.28515625" style="93" customWidth="1"/>
    <col min="6153" max="6153" width="9.140625" style="93"/>
    <col min="6154" max="6154" width="11.7109375" style="93" bestFit="1" customWidth="1"/>
    <col min="6155" max="6403" width="9.140625" style="93"/>
    <col min="6404" max="6406" width="8.85546875" style="93" customWidth="1"/>
    <col min="6407" max="6407" width="39.42578125" style="93" customWidth="1"/>
    <col min="6408" max="6408" width="28.28515625" style="93" customWidth="1"/>
    <col min="6409" max="6409" width="9.140625" style="93"/>
    <col min="6410" max="6410" width="11.7109375" style="93" bestFit="1" customWidth="1"/>
    <col min="6411" max="6659" width="9.140625" style="93"/>
    <col min="6660" max="6662" width="8.85546875" style="93" customWidth="1"/>
    <col min="6663" max="6663" width="39.42578125" style="93" customWidth="1"/>
    <col min="6664" max="6664" width="28.28515625" style="93" customWidth="1"/>
    <col min="6665" max="6665" width="9.140625" style="93"/>
    <col min="6666" max="6666" width="11.7109375" style="93" bestFit="1" customWidth="1"/>
    <col min="6667" max="6915" width="9.140625" style="93"/>
    <col min="6916" max="6918" width="8.85546875" style="93" customWidth="1"/>
    <col min="6919" max="6919" width="39.42578125" style="93" customWidth="1"/>
    <col min="6920" max="6920" width="28.28515625" style="93" customWidth="1"/>
    <col min="6921" max="6921" width="9.140625" style="93"/>
    <col min="6922" max="6922" width="11.7109375" style="93" bestFit="1" customWidth="1"/>
    <col min="6923" max="7171" width="9.140625" style="93"/>
    <col min="7172" max="7174" width="8.85546875" style="93" customWidth="1"/>
    <col min="7175" max="7175" width="39.42578125" style="93" customWidth="1"/>
    <col min="7176" max="7176" width="28.28515625" style="93" customWidth="1"/>
    <col min="7177" max="7177" width="9.140625" style="93"/>
    <col min="7178" max="7178" width="11.7109375" style="93" bestFit="1" customWidth="1"/>
    <col min="7179" max="7427" width="9.140625" style="93"/>
    <col min="7428" max="7430" width="8.85546875" style="93" customWidth="1"/>
    <col min="7431" max="7431" width="39.42578125" style="93" customWidth="1"/>
    <col min="7432" max="7432" width="28.28515625" style="93" customWidth="1"/>
    <col min="7433" max="7433" width="9.140625" style="93"/>
    <col min="7434" max="7434" width="11.7109375" style="93" bestFit="1" customWidth="1"/>
    <col min="7435" max="7683" width="9.140625" style="93"/>
    <col min="7684" max="7686" width="8.85546875" style="93" customWidth="1"/>
    <col min="7687" max="7687" width="39.42578125" style="93" customWidth="1"/>
    <col min="7688" max="7688" width="28.28515625" style="93" customWidth="1"/>
    <col min="7689" max="7689" width="9.140625" style="93"/>
    <col min="7690" max="7690" width="11.7109375" style="93" bestFit="1" customWidth="1"/>
    <col min="7691" max="7939" width="9.140625" style="93"/>
    <col min="7940" max="7942" width="8.85546875" style="93" customWidth="1"/>
    <col min="7943" max="7943" width="39.42578125" style="93" customWidth="1"/>
    <col min="7944" max="7944" width="28.28515625" style="93" customWidth="1"/>
    <col min="7945" max="7945" width="9.140625" style="93"/>
    <col min="7946" max="7946" width="11.7109375" style="93" bestFit="1" customWidth="1"/>
    <col min="7947" max="8195" width="9.140625" style="93"/>
    <col min="8196" max="8198" width="8.85546875" style="93" customWidth="1"/>
    <col min="8199" max="8199" width="39.42578125" style="93" customWidth="1"/>
    <col min="8200" max="8200" width="28.28515625" style="93" customWidth="1"/>
    <col min="8201" max="8201" width="9.140625" style="93"/>
    <col min="8202" max="8202" width="11.7109375" style="93" bestFit="1" customWidth="1"/>
    <col min="8203" max="8451" width="9.140625" style="93"/>
    <col min="8452" max="8454" width="8.85546875" style="93" customWidth="1"/>
    <col min="8455" max="8455" width="39.42578125" style="93" customWidth="1"/>
    <col min="8456" max="8456" width="28.28515625" style="93" customWidth="1"/>
    <col min="8457" max="8457" width="9.140625" style="93"/>
    <col min="8458" max="8458" width="11.7109375" style="93" bestFit="1" customWidth="1"/>
    <col min="8459" max="8707" width="9.140625" style="93"/>
    <col min="8708" max="8710" width="8.85546875" style="93" customWidth="1"/>
    <col min="8711" max="8711" width="39.42578125" style="93" customWidth="1"/>
    <col min="8712" max="8712" width="28.28515625" style="93" customWidth="1"/>
    <col min="8713" max="8713" width="9.140625" style="93"/>
    <col min="8714" max="8714" width="11.7109375" style="93" bestFit="1" customWidth="1"/>
    <col min="8715" max="8963" width="9.140625" style="93"/>
    <col min="8964" max="8966" width="8.85546875" style="93" customWidth="1"/>
    <col min="8967" max="8967" width="39.42578125" style="93" customWidth="1"/>
    <col min="8968" max="8968" width="28.28515625" style="93" customWidth="1"/>
    <col min="8969" max="8969" width="9.140625" style="93"/>
    <col min="8970" max="8970" width="11.7109375" style="93" bestFit="1" customWidth="1"/>
    <col min="8971" max="9219" width="9.140625" style="93"/>
    <col min="9220" max="9222" width="8.85546875" style="93" customWidth="1"/>
    <col min="9223" max="9223" width="39.42578125" style="93" customWidth="1"/>
    <col min="9224" max="9224" width="28.28515625" style="93" customWidth="1"/>
    <col min="9225" max="9225" width="9.140625" style="93"/>
    <col min="9226" max="9226" width="11.7109375" style="93" bestFit="1" customWidth="1"/>
    <col min="9227" max="9475" width="9.140625" style="93"/>
    <col min="9476" max="9478" width="8.85546875" style="93" customWidth="1"/>
    <col min="9479" max="9479" width="39.42578125" style="93" customWidth="1"/>
    <col min="9480" max="9480" width="28.28515625" style="93" customWidth="1"/>
    <col min="9481" max="9481" width="9.140625" style="93"/>
    <col min="9482" max="9482" width="11.7109375" style="93" bestFit="1" customWidth="1"/>
    <col min="9483" max="9731" width="9.140625" style="93"/>
    <col min="9732" max="9734" width="8.85546875" style="93" customWidth="1"/>
    <col min="9735" max="9735" width="39.42578125" style="93" customWidth="1"/>
    <col min="9736" max="9736" width="28.28515625" style="93" customWidth="1"/>
    <col min="9737" max="9737" width="9.140625" style="93"/>
    <col min="9738" max="9738" width="11.7109375" style="93" bestFit="1" customWidth="1"/>
    <col min="9739" max="9987" width="9.140625" style="93"/>
    <col min="9988" max="9990" width="8.85546875" style="93" customWidth="1"/>
    <col min="9991" max="9991" width="39.42578125" style="93" customWidth="1"/>
    <col min="9992" max="9992" width="28.28515625" style="93" customWidth="1"/>
    <col min="9993" max="9993" width="9.140625" style="93"/>
    <col min="9994" max="9994" width="11.7109375" style="93" bestFit="1" customWidth="1"/>
    <col min="9995" max="10243" width="9.140625" style="93"/>
    <col min="10244" max="10246" width="8.85546875" style="93" customWidth="1"/>
    <col min="10247" max="10247" width="39.42578125" style="93" customWidth="1"/>
    <col min="10248" max="10248" width="28.28515625" style="93" customWidth="1"/>
    <col min="10249" max="10249" width="9.140625" style="93"/>
    <col min="10250" max="10250" width="11.7109375" style="93" bestFit="1" customWidth="1"/>
    <col min="10251" max="10499" width="9.140625" style="93"/>
    <col min="10500" max="10502" width="8.85546875" style="93" customWidth="1"/>
    <col min="10503" max="10503" width="39.42578125" style="93" customWidth="1"/>
    <col min="10504" max="10504" width="28.28515625" style="93" customWidth="1"/>
    <col min="10505" max="10505" width="9.140625" style="93"/>
    <col min="10506" max="10506" width="11.7109375" style="93" bestFit="1" customWidth="1"/>
    <col min="10507" max="10755" width="9.140625" style="93"/>
    <col min="10756" max="10758" width="8.85546875" style="93" customWidth="1"/>
    <col min="10759" max="10759" width="39.42578125" style="93" customWidth="1"/>
    <col min="10760" max="10760" width="28.28515625" style="93" customWidth="1"/>
    <col min="10761" max="10761" width="9.140625" style="93"/>
    <col min="10762" max="10762" width="11.7109375" style="93" bestFit="1" customWidth="1"/>
    <col min="10763" max="11011" width="9.140625" style="93"/>
    <col min="11012" max="11014" width="8.85546875" style="93" customWidth="1"/>
    <col min="11015" max="11015" width="39.42578125" style="93" customWidth="1"/>
    <col min="11016" max="11016" width="28.28515625" style="93" customWidth="1"/>
    <col min="11017" max="11017" width="9.140625" style="93"/>
    <col min="11018" max="11018" width="11.7109375" style="93" bestFit="1" customWidth="1"/>
    <col min="11019" max="11267" width="9.140625" style="93"/>
    <col min="11268" max="11270" width="8.85546875" style="93" customWidth="1"/>
    <col min="11271" max="11271" width="39.42578125" style="93" customWidth="1"/>
    <col min="11272" max="11272" width="28.28515625" style="93" customWidth="1"/>
    <col min="11273" max="11273" width="9.140625" style="93"/>
    <col min="11274" max="11274" width="11.7109375" style="93" bestFit="1" customWidth="1"/>
    <col min="11275" max="11523" width="9.140625" style="93"/>
    <col min="11524" max="11526" width="8.85546875" style="93" customWidth="1"/>
    <col min="11527" max="11527" width="39.42578125" style="93" customWidth="1"/>
    <col min="11528" max="11528" width="28.28515625" style="93" customWidth="1"/>
    <col min="11529" max="11529" width="9.140625" style="93"/>
    <col min="11530" max="11530" width="11.7109375" style="93" bestFit="1" customWidth="1"/>
    <col min="11531" max="11779" width="9.140625" style="93"/>
    <col min="11780" max="11782" width="8.85546875" style="93" customWidth="1"/>
    <col min="11783" max="11783" width="39.42578125" style="93" customWidth="1"/>
    <col min="11784" max="11784" width="28.28515625" style="93" customWidth="1"/>
    <col min="11785" max="11785" width="9.140625" style="93"/>
    <col min="11786" max="11786" width="11.7109375" style="93" bestFit="1" customWidth="1"/>
    <col min="11787" max="12035" width="9.140625" style="93"/>
    <col min="12036" max="12038" width="8.85546875" style="93" customWidth="1"/>
    <col min="12039" max="12039" width="39.42578125" style="93" customWidth="1"/>
    <col min="12040" max="12040" width="28.28515625" style="93" customWidth="1"/>
    <col min="12041" max="12041" width="9.140625" style="93"/>
    <col min="12042" max="12042" width="11.7109375" style="93" bestFit="1" customWidth="1"/>
    <col min="12043" max="12291" width="9.140625" style="93"/>
    <col min="12292" max="12294" width="8.85546875" style="93" customWidth="1"/>
    <col min="12295" max="12295" width="39.42578125" style="93" customWidth="1"/>
    <col min="12296" max="12296" width="28.28515625" style="93" customWidth="1"/>
    <col min="12297" max="12297" width="9.140625" style="93"/>
    <col min="12298" max="12298" width="11.7109375" style="93" bestFit="1" customWidth="1"/>
    <col min="12299" max="12547" width="9.140625" style="93"/>
    <col min="12548" max="12550" width="8.85546875" style="93" customWidth="1"/>
    <col min="12551" max="12551" width="39.42578125" style="93" customWidth="1"/>
    <col min="12552" max="12552" width="28.28515625" style="93" customWidth="1"/>
    <col min="12553" max="12553" width="9.140625" style="93"/>
    <col min="12554" max="12554" width="11.7109375" style="93" bestFit="1" customWidth="1"/>
    <col min="12555" max="12803" width="9.140625" style="93"/>
    <col min="12804" max="12806" width="8.85546875" style="93" customWidth="1"/>
    <col min="12807" max="12807" width="39.42578125" style="93" customWidth="1"/>
    <col min="12808" max="12808" width="28.28515625" style="93" customWidth="1"/>
    <col min="12809" max="12809" width="9.140625" style="93"/>
    <col min="12810" max="12810" width="11.7109375" style="93" bestFit="1" customWidth="1"/>
    <col min="12811" max="13059" width="9.140625" style="93"/>
    <col min="13060" max="13062" width="8.85546875" style="93" customWidth="1"/>
    <col min="13063" max="13063" width="39.42578125" style="93" customWidth="1"/>
    <col min="13064" max="13064" width="28.28515625" style="93" customWidth="1"/>
    <col min="13065" max="13065" width="9.140625" style="93"/>
    <col min="13066" max="13066" width="11.7109375" style="93" bestFit="1" customWidth="1"/>
    <col min="13067" max="13315" width="9.140625" style="93"/>
    <col min="13316" max="13318" width="8.85546875" style="93" customWidth="1"/>
    <col min="13319" max="13319" width="39.42578125" style="93" customWidth="1"/>
    <col min="13320" max="13320" width="28.28515625" style="93" customWidth="1"/>
    <col min="13321" max="13321" width="9.140625" style="93"/>
    <col min="13322" max="13322" width="11.7109375" style="93" bestFit="1" customWidth="1"/>
    <col min="13323" max="13571" width="9.140625" style="93"/>
    <col min="13572" max="13574" width="8.85546875" style="93" customWidth="1"/>
    <col min="13575" max="13575" width="39.42578125" style="93" customWidth="1"/>
    <col min="13576" max="13576" width="28.28515625" style="93" customWidth="1"/>
    <col min="13577" max="13577" width="9.140625" style="93"/>
    <col min="13578" max="13578" width="11.7109375" style="93" bestFit="1" customWidth="1"/>
    <col min="13579" max="13827" width="9.140625" style="93"/>
    <col min="13828" max="13830" width="8.85546875" style="93" customWidth="1"/>
    <col min="13831" max="13831" width="39.42578125" style="93" customWidth="1"/>
    <col min="13832" max="13832" width="28.28515625" style="93" customWidth="1"/>
    <col min="13833" max="13833" width="9.140625" style="93"/>
    <col min="13834" max="13834" width="11.7109375" style="93" bestFit="1" customWidth="1"/>
    <col min="13835" max="14083" width="9.140625" style="93"/>
    <col min="14084" max="14086" width="8.85546875" style="93" customWidth="1"/>
    <col min="14087" max="14087" width="39.42578125" style="93" customWidth="1"/>
    <col min="14088" max="14088" width="28.28515625" style="93" customWidth="1"/>
    <col min="14089" max="14089" width="9.140625" style="93"/>
    <col min="14090" max="14090" width="11.7109375" style="93" bestFit="1" customWidth="1"/>
    <col min="14091" max="14339" width="9.140625" style="93"/>
    <col min="14340" max="14342" width="8.85546875" style="93" customWidth="1"/>
    <col min="14343" max="14343" width="39.42578125" style="93" customWidth="1"/>
    <col min="14344" max="14344" width="28.28515625" style="93" customWidth="1"/>
    <col min="14345" max="14345" width="9.140625" style="93"/>
    <col min="14346" max="14346" width="11.7109375" style="93" bestFit="1" customWidth="1"/>
    <col min="14347" max="14595" width="9.140625" style="93"/>
    <col min="14596" max="14598" width="8.85546875" style="93" customWidth="1"/>
    <col min="14599" max="14599" width="39.42578125" style="93" customWidth="1"/>
    <col min="14600" max="14600" width="28.28515625" style="93" customWidth="1"/>
    <col min="14601" max="14601" width="9.140625" style="93"/>
    <col min="14602" max="14602" width="11.7109375" style="93" bestFit="1" customWidth="1"/>
    <col min="14603" max="14851" width="9.140625" style="93"/>
    <col min="14852" max="14854" width="8.85546875" style="93" customWidth="1"/>
    <col min="14855" max="14855" width="39.42578125" style="93" customWidth="1"/>
    <col min="14856" max="14856" width="28.28515625" style="93" customWidth="1"/>
    <col min="14857" max="14857" width="9.140625" style="93"/>
    <col min="14858" max="14858" width="11.7109375" style="93" bestFit="1" customWidth="1"/>
    <col min="14859" max="15107" width="9.140625" style="93"/>
    <col min="15108" max="15110" width="8.85546875" style="93" customWidth="1"/>
    <col min="15111" max="15111" width="39.42578125" style="93" customWidth="1"/>
    <col min="15112" max="15112" width="28.28515625" style="93" customWidth="1"/>
    <col min="15113" max="15113" width="9.140625" style="93"/>
    <col min="15114" max="15114" width="11.7109375" style="93" bestFit="1" customWidth="1"/>
    <col min="15115" max="15363" width="9.140625" style="93"/>
    <col min="15364" max="15366" width="8.85546875" style="93" customWidth="1"/>
    <col min="15367" max="15367" width="39.42578125" style="93" customWidth="1"/>
    <col min="15368" max="15368" width="28.28515625" style="93" customWidth="1"/>
    <col min="15369" max="15369" width="9.140625" style="93"/>
    <col min="15370" max="15370" width="11.7109375" style="93" bestFit="1" customWidth="1"/>
    <col min="15371" max="15619" width="9.140625" style="93"/>
    <col min="15620" max="15622" width="8.85546875" style="93" customWidth="1"/>
    <col min="15623" max="15623" width="39.42578125" style="93" customWidth="1"/>
    <col min="15624" max="15624" width="28.28515625" style="93" customWidth="1"/>
    <col min="15625" max="15625" width="9.140625" style="93"/>
    <col min="15626" max="15626" width="11.7109375" style="93" bestFit="1" customWidth="1"/>
    <col min="15627" max="15875" width="9.140625" style="93"/>
    <col min="15876" max="15878" width="8.85546875" style="93" customWidth="1"/>
    <col min="15879" max="15879" width="39.42578125" style="93" customWidth="1"/>
    <col min="15880" max="15880" width="28.28515625" style="93" customWidth="1"/>
    <col min="15881" max="15881" width="9.140625" style="93"/>
    <col min="15882" max="15882" width="11.7109375" style="93" bestFit="1" customWidth="1"/>
    <col min="15883" max="16131" width="9.140625" style="93"/>
    <col min="16132" max="16134" width="8.85546875" style="93" customWidth="1"/>
    <col min="16135" max="16135" width="39.42578125" style="93" customWidth="1"/>
    <col min="16136" max="16136" width="28.28515625" style="93" customWidth="1"/>
    <col min="16137" max="16137" width="9.140625" style="93"/>
    <col min="16138" max="16138" width="11.7109375" style="93" bestFit="1" customWidth="1"/>
    <col min="16139" max="16384" width="9.140625" style="93"/>
  </cols>
  <sheetData>
    <row r="1" spans="1:8" s="92" customFormat="1" ht="15" customHeight="1" x14ac:dyDescent="0.25">
      <c r="D1" s="336" t="s">
        <v>160</v>
      </c>
      <c r="E1" s="336"/>
      <c r="F1" s="336"/>
      <c r="G1" s="336"/>
      <c r="H1" s="336"/>
    </row>
    <row r="2" spans="1:8" s="92" customFormat="1" ht="15" customHeight="1" x14ac:dyDescent="0.25">
      <c r="D2" s="336" t="s">
        <v>83</v>
      </c>
      <c r="E2" s="336"/>
      <c r="F2" s="336"/>
      <c r="G2" s="336"/>
      <c r="H2" s="336"/>
    </row>
    <row r="3" spans="1:8" s="92" customFormat="1" ht="15" customHeight="1" x14ac:dyDescent="0.25">
      <c r="D3" s="336" t="s">
        <v>62</v>
      </c>
      <c r="E3" s="336"/>
      <c r="F3" s="336"/>
      <c r="G3" s="336"/>
      <c r="H3" s="336"/>
    </row>
    <row r="4" spans="1:8" ht="65.25" customHeight="1" x14ac:dyDescent="0.3">
      <c r="A4" s="337" t="s">
        <v>245</v>
      </c>
      <c r="B4" s="337"/>
      <c r="C4" s="337"/>
      <c r="D4" s="337"/>
      <c r="E4" s="337"/>
      <c r="F4" s="337"/>
      <c r="G4" s="337"/>
      <c r="H4" s="337"/>
    </row>
    <row r="5" spans="1:8" ht="14.45" customHeight="1" x14ac:dyDescent="0.3">
      <c r="H5" s="95" t="s">
        <v>64</v>
      </c>
    </row>
    <row r="6" spans="1:8" ht="54.75" customHeight="1" x14ac:dyDescent="0.3">
      <c r="A6" s="338" t="s">
        <v>161</v>
      </c>
      <c r="B6" s="340" t="s">
        <v>162</v>
      </c>
      <c r="C6" s="340" t="s">
        <v>4</v>
      </c>
      <c r="D6" s="341" t="s">
        <v>163</v>
      </c>
      <c r="E6" s="343" t="s">
        <v>6</v>
      </c>
      <c r="F6" s="343"/>
      <c r="G6" s="343"/>
      <c r="H6" s="343"/>
    </row>
    <row r="7" spans="1:8" ht="72.75" customHeight="1" x14ac:dyDescent="0.3">
      <c r="A7" s="339"/>
      <c r="B7" s="340"/>
      <c r="C7" s="340"/>
      <c r="D7" s="342"/>
      <c r="E7" s="5" t="s">
        <v>15</v>
      </c>
      <c r="F7" s="5" t="s">
        <v>16</v>
      </c>
      <c r="G7" s="5" t="s">
        <v>17</v>
      </c>
      <c r="H7" s="4" t="s">
        <v>7</v>
      </c>
    </row>
    <row r="8" spans="1:8" x14ac:dyDescent="0.3">
      <c r="A8" s="96"/>
      <c r="B8" s="96"/>
      <c r="C8" s="96"/>
      <c r="D8" s="110" t="s">
        <v>164</v>
      </c>
      <c r="E8" s="122">
        <f>SUM(E10+E37)</f>
        <v>0</v>
      </c>
      <c r="F8" s="122">
        <f t="shared" ref="F8:H8" si="0">SUM(F10+F37)</f>
        <v>0</v>
      </c>
      <c r="G8" s="122">
        <f t="shared" si="0"/>
        <v>0</v>
      </c>
      <c r="H8" s="122">
        <f t="shared" si="0"/>
        <v>0</v>
      </c>
    </row>
    <row r="9" spans="1:8" s="61" customFormat="1" ht="17.25" x14ac:dyDescent="0.3">
      <c r="A9" s="97"/>
      <c r="B9" s="97"/>
      <c r="C9" s="97"/>
      <c r="D9" s="112" t="s">
        <v>8</v>
      </c>
      <c r="E9" s="114"/>
      <c r="F9" s="114"/>
      <c r="G9" s="114"/>
      <c r="H9" s="115"/>
    </row>
    <row r="10" spans="1:8" s="61" customFormat="1" ht="21.75" customHeight="1" x14ac:dyDescent="0.25">
      <c r="A10" s="98" t="s">
        <v>10</v>
      </c>
      <c r="B10" s="98"/>
      <c r="C10" s="98"/>
      <c r="D10" s="111" t="s">
        <v>165</v>
      </c>
      <c r="E10" s="122">
        <f>SUM(E12)</f>
        <v>0</v>
      </c>
      <c r="F10" s="122">
        <f t="shared" ref="F10:H10" si="1">SUM(F12)</f>
        <v>0</v>
      </c>
      <c r="G10" s="122">
        <f t="shared" si="1"/>
        <v>-40000</v>
      </c>
      <c r="H10" s="122">
        <f t="shared" si="1"/>
        <v>-40000</v>
      </c>
    </row>
    <row r="11" spans="1:8" s="61" customFormat="1" x14ac:dyDescent="0.25">
      <c r="A11" s="98"/>
      <c r="B11" s="98"/>
      <c r="C11" s="98"/>
      <c r="D11" s="99" t="s">
        <v>8</v>
      </c>
      <c r="E11" s="122"/>
      <c r="F11" s="122"/>
      <c r="G11" s="122"/>
      <c r="H11" s="122"/>
    </row>
    <row r="12" spans="1:8" s="61" customFormat="1" x14ac:dyDescent="0.25">
      <c r="A12" s="98"/>
      <c r="B12" s="98" t="s">
        <v>11</v>
      </c>
      <c r="C12" s="98"/>
      <c r="D12" s="100" t="s">
        <v>166</v>
      </c>
      <c r="E12" s="122">
        <f>SUM(E14)</f>
        <v>0</v>
      </c>
      <c r="F12" s="122">
        <f t="shared" ref="F12:H12" si="2">SUM(F14)</f>
        <v>0</v>
      </c>
      <c r="G12" s="122">
        <f t="shared" si="2"/>
        <v>-40000</v>
      </c>
      <c r="H12" s="122">
        <f t="shared" si="2"/>
        <v>-40000</v>
      </c>
    </row>
    <row r="13" spans="1:8" s="61" customFormat="1" x14ac:dyDescent="0.3">
      <c r="A13" s="98"/>
      <c r="B13" s="98"/>
      <c r="C13" s="98"/>
      <c r="D13" s="99" t="s">
        <v>8</v>
      </c>
      <c r="E13" s="116"/>
      <c r="F13" s="116"/>
      <c r="G13" s="116"/>
      <c r="H13" s="117"/>
    </row>
    <row r="14" spans="1:8" s="61" customFormat="1" x14ac:dyDescent="0.25">
      <c r="A14" s="98"/>
      <c r="B14" s="98"/>
      <c r="C14" s="98" t="s">
        <v>12</v>
      </c>
      <c r="D14" s="100" t="s">
        <v>167</v>
      </c>
      <c r="E14" s="122">
        <f>SUM(E16+E22+E27+E32)</f>
        <v>0</v>
      </c>
      <c r="F14" s="122">
        <f t="shared" ref="F14:H14" si="3">SUM(F16+F22+F27+F32)</f>
        <v>0</v>
      </c>
      <c r="G14" s="122">
        <f t="shared" si="3"/>
        <v>-40000</v>
      </c>
      <c r="H14" s="122">
        <f t="shared" si="3"/>
        <v>-40000</v>
      </c>
    </row>
    <row r="15" spans="1:8" s="61" customFormat="1" x14ac:dyDescent="0.25">
      <c r="A15" s="98"/>
      <c r="B15" s="98"/>
      <c r="C15" s="98"/>
      <c r="D15" s="99" t="s">
        <v>8</v>
      </c>
      <c r="E15" s="122"/>
      <c r="F15" s="122"/>
      <c r="G15" s="122"/>
      <c r="H15" s="122"/>
    </row>
    <row r="16" spans="1:8" s="103" customFormat="1" ht="34.5" customHeight="1" x14ac:dyDescent="0.3">
      <c r="A16" s="101"/>
      <c r="B16" s="101"/>
      <c r="C16" s="101"/>
      <c r="D16" s="102" t="s">
        <v>168</v>
      </c>
      <c r="E16" s="122">
        <f>SUM(E18+E21)</f>
        <v>-69252.5</v>
      </c>
      <c r="F16" s="122">
        <f t="shared" ref="F16:H16" si="4">SUM(F18+F21)</f>
        <v>-157412.5</v>
      </c>
      <c r="G16" s="122">
        <f t="shared" si="4"/>
        <v>-300612.5</v>
      </c>
      <c r="H16" s="122">
        <f t="shared" si="4"/>
        <v>-382982.5</v>
      </c>
    </row>
    <row r="17" spans="1:10" s="103" customFormat="1" x14ac:dyDescent="0.3">
      <c r="A17" s="104"/>
      <c r="B17" s="104"/>
      <c r="C17" s="104"/>
      <c r="D17" s="107" t="s">
        <v>169</v>
      </c>
      <c r="E17" s="113"/>
      <c r="F17" s="113"/>
      <c r="G17" s="113"/>
      <c r="H17" s="113"/>
    </row>
    <row r="18" spans="1:10" s="103" customFormat="1" ht="60" customHeight="1" x14ac:dyDescent="0.3">
      <c r="A18" s="104"/>
      <c r="B18" s="104"/>
      <c r="C18" s="104"/>
      <c r="D18" s="108" t="s">
        <v>170</v>
      </c>
      <c r="E18" s="116">
        <f>SUM(E19:E20)</f>
        <v>1106814.5</v>
      </c>
      <c r="F18" s="116">
        <f>SUM(F19:F20)</f>
        <v>2194721.6</v>
      </c>
      <c r="G18" s="116">
        <f t="shared" ref="G18" si="5">SUM(G19:G20)</f>
        <v>3815622.2</v>
      </c>
      <c r="H18" s="116">
        <f>SUM(H19:H20)</f>
        <v>5497352.7999999998</v>
      </c>
    </row>
    <row r="19" spans="1:10" s="103" customFormat="1" ht="33" x14ac:dyDescent="0.3">
      <c r="A19" s="104"/>
      <c r="B19" s="104"/>
      <c r="C19" s="104"/>
      <c r="D19" s="108" t="s">
        <v>98</v>
      </c>
      <c r="E19" s="116">
        <v>1145084.5</v>
      </c>
      <c r="F19" s="116">
        <v>2232991.6</v>
      </c>
      <c r="G19" s="116">
        <v>3779982.2</v>
      </c>
      <c r="H19" s="116">
        <v>5461712.7999999998</v>
      </c>
    </row>
    <row r="20" spans="1:10" s="103" customFormat="1" ht="28.5" customHeight="1" x14ac:dyDescent="0.3">
      <c r="A20" s="104"/>
      <c r="B20" s="104"/>
      <c r="C20" s="104"/>
      <c r="D20" s="109" t="s">
        <v>99</v>
      </c>
      <c r="E20" s="123">
        <v>-38270</v>
      </c>
      <c r="F20" s="123">
        <v>-38270</v>
      </c>
      <c r="G20" s="123">
        <v>35640</v>
      </c>
      <c r="H20" s="123">
        <v>35640</v>
      </c>
    </row>
    <row r="21" spans="1:10" s="103" customFormat="1" ht="25.5" customHeight="1" x14ac:dyDescent="0.3">
      <c r="A21" s="104"/>
      <c r="B21" s="104"/>
      <c r="C21" s="104"/>
      <c r="D21" s="109" t="s">
        <v>172</v>
      </c>
      <c r="E21" s="123">
        <v>-1176067</v>
      </c>
      <c r="F21" s="123">
        <v>-2352134.1</v>
      </c>
      <c r="G21" s="123">
        <v>-4116234.7</v>
      </c>
      <c r="H21" s="123">
        <v>-5880335.2999999998</v>
      </c>
    </row>
    <row r="22" spans="1:10" ht="33" x14ac:dyDescent="0.3">
      <c r="A22" s="105"/>
      <c r="B22" s="105"/>
      <c r="C22" s="105"/>
      <c r="D22" s="102" t="s">
        <v>171</v>
      </c>
      <c r="E22" s="113">
        <f>SUM(E24)</f>
        <v>69252.5</v>
      </c>
      <c r="F22" s="113">
        <f t="shared" ref="F22:H22" si="6">SUM(F24)</f>
        <v>157412.5</v>
      </c>
      <c r="G22" s="113">
        <f t="shared" si="6"/>
        <v>260612.5</v>
      </c>
      <c r="H22" s="113">
        <f t="shared" si="6"/>
        <v>342982.5</v>
      </c>
      <c r="J22" s="106"/>
    </row>
    <row r="23" spans="1:10" x14ac:dyDescent="0.3">
      <c r="A23" s="105"/>
      <c r="B23" s="105"/>
      <c r="C23" s="105"/>
      <c r="D23" s="107" t="s">
        <v>169</v>
      </c>
      <c r="E23" s="113"/>
      <c r="F23" s="113"/>
      <c r="G23" s="113"/>
      <c r="H23" s="113"/>
    </row>
    <row r="24" spans="1:10" ht="53.25" customHeight="1" x14ac:dyDescent="0.3">
      <c r="A24" s="105"/>
      <c r="B24" s="105"/>
      <c r="C24" s="105"/>
      <c r="D24" s="108" t="s">
        <v>170</v>
      </c>
      <c r="E24" s="113">
        <f>SUM(E25:E26)</f>
        <v>69252.5</v>
      </c>
      <c r="F24" s="113">
        <f t="shared" ref="F24:H24" si="7">SUM(F25:F26)</f>
        <v>157412.5</v>
      </c>
      <c r="G24" s="113">
        <f t="shared" si="7"/>
        <v>260612.5</v>
      </c>
      <c r="H24" s="113">
        <f t="shared" si="7"/>
        <v>342982.5</v>
      </c>
    </row>
    <row r="25" spans="1:10" ht="33" x14ac:dyDescent="0.3">
      <c r="A25" s="105"/>
      <c r="B25" s="105"/>
      <c r="C25" s="105"/>
      <c r="D25" s="108" t="s">
        <v>98</v>
      </c>
      <c r="E25" s="116">
        <f>72672.5+70</f>
        <v>72742.5</v>
      </c>
      <c r="F25" s="116">
        <v>145902.5</v>
      </c>
      <c r="G25" s="116">
        <v>231582.5</v>
      </c>
      <c r="H25" s="116">
        <v>313952.5</v>
      </c>
    </row>
    <row r="26" spans="1:10" s="103" customFormat="1" ht="26.25" customHeight="1" x14ac:dyDescent="0.3">
      <c r="A26" s="187"/>
      <c r="B26" s="187"/>
      <c r="C26" s="187"/>
      <c r="D26" s="188" t="s">
        <v>99</v>
      </c>
      <c r="E26" s="189">
        <v>-3490</v>
      </c>
      <c r="F26" s="189">
        <v>11510</v>
      </c>
      <c r="G26" s="189">
        <v>29030</v>
      </c>
      <c r="H26" s="189">
        <v>29030</v>
      </c>
    </row>
    <row r="27" spans="1:10" ht="82.5" x14ac:dyDescent="0.3">
      <c r="A27" s="105"/>
      <c r="B27" s="105"/>
      <c r="C27" s="105"/>
      <c r="D27" s="190" t="s">
        <v>101</v>
      </c>
      <c r="E27" s="113">
        <f>SUM(E29)</f>
        <v>222620</v>
      </c>
      <c r="F27" s="113">
        <f t="shared" ref="F27:H27" si="8">SUM(F29)</f>
        <v>222620</v>
      </c>
      <c r="G27" s="113">
        <f t="shared" si="8"/>
        <v>222620</v>
      </c>
      <c r="H27" s="113">
        <f t="shared" si="8"/>
        <v>222620</v>
      </c>
    </row>
    <row r="28" spans="1:10" x14ac:dyDescent="0.3">
      <c r="A28" s="105"/>
      <c r="B28" s="105"/>
      <c r="C28" s="105"/>
      <c r="D28" s="107" t="s">
        <v>169</v>
      </c>
      <c r="E28" s="113"/>
      <c r="F28" s="113"/>
      <c r="G28" s="113"/>
      <c r="H28" s="113"/>
    </row>
    <row r="29" spans="1:10" ht="53.25" customHeight="1" x14ac:dyDescent="0.3">
      <c r="A29" s="105"/>
      <c r="B29" s="105"/>
      <c r="C29" s="105"/>
      <c r="D29" s="108" t="s">
        <v>170</v>
      </c>
      <c r="E29" s="113">
        <f>SUM(E31:E31)</f>
        <v>222620</v>
      </c>
      <c r="F29" s="113">
        <f>SUM(F31:F31)</f>
        <v>222620</v>
      </c>
      <c r="G29" s="113">
        <f>SUM(G31:G31)</f>
        <v>222620</v>
      </c>
      <c r="H29" s="113">
        <f>SUM(H31:H31)</f>
        <v>222620</v>
      </c>
    </row>
    <row r="30" spans="1:10" ht="24" customHeight="1" x14ac:dyDescent="0.3">
      <c r="A30" s="105"/>
      <c r="B30" s="105"/>
      <c r="C30" s="105"/>
      <c r="D30" s="191" t="s">
        <v>8</v>
      </c>
      <c r="E30" s="113"/>
      <c r="F30" s="113"/>
      <c r="G30" s="113"/>
      <c r="H30" s="113"/>
    </row>
    <row r="31" spans="1:10" ht="24.75" customHeight="1" x14ac:dyDescent="0.3">
      <c r="A31" s="105"/>
      <c r="B31" s="105"/>
      <c r="C31" s="105"/>
      <c r="D31" s="108" t="s">
        <v>244</v>
      </c>
      <c r="E31" s="116">
        <v>222620</v>
      </c>
      <c r="F31" s="116">
        <v>222620</v>
      </c>
      <c r="G31" s="116">
        <v>222620</v>
      </c>
      <c r="H31" s="116">
        <v>222620</v>
      </c>
    </row>
    <row r="32" spans="1:10" ht="82.5" x14ac:dyDescent="0.3">
      <c r="A32" s="105"/>
      <c r="B32" s="105"/>
      <c r="C32" s="105"/>
      <c r="D32" s="190" t="s">
        <v>243</v>
      </c>
      <c r="E32" s="122">
        <f>SUM(E34)</f>
        <v>-222620</v>
      </c>
      <c r="F32" s="122">
        <f t="shared" ref="F32:H32" si="9">SUM(F34)</f>
        <v>-222620</v>
      </c>
      <c r="G32" s="122">
        <f t="shared" si="9"/>
        <v>-222620</v>
      </c>
      <c r="H32" s="122">
        <f t="shared" si="9"/>
        <v>-222620</v>
      </c>
    </row>
    <row r="33" spans="1:8" x14ac:dyDescent="0.3">
      <c r="A33" s="105"/>
      <c r="B33" s="105"/>
      <c r="C33" s="105"/>
      <c r="D33" s="107" t="s">
        <v>169</v>
      </c>
      <c r="E33" s="113"/>
      <c r="F33" s="113"/>
      <c r="G33" s="113"/>
      <c r="H33" s="113"/>
    </row>
    <row r="34" spans="1:8" ht="53.25" customHeight="1" x14ac:dyDescent="0.3">
      <c r="A34" s="105"/>
      <c r="B34" s="105"/>
      <c r="C34" s="105"/>
      <c r="D34" s="108" t="s">
        <v>170</v>
      </c>
      <c r="E34" s="122">
        <f>SUM(E36)</f>
        <v>-222620</v>
      </c>
      <c r="F34" s="122">
        <f t="shared" ref="F34:H34" si="10">SUM(F36)</f>
        <v>-222620</v>
      </c>
      <c r="G34" s="122">
        <f t="shared" si="10"/>
        <v>-222620</v>
      </c>
      <c r="H34" s="122">
        <f t="shared" si="10"/>
        <v>-222620</v>
      </c>
    </row>
    <row r="35" spans="1:8" ht="23.25" customHeight="1" x14ac:dyDescent="0.3">
      <c r="A35" s="105"/>
      <c r="B35" s="105"/>
      <c r="C35" s="105"/>
      <c r="D35" s="191" t="s">
        <v>8</v>
      </c>
      <c r="E35" s="122"/>
      <c r="F35" s="122"/>
      <c r="G35" s="122"/>
      <c r="H35" s="122"/>
    </row>
    <row r="36" spans="1:8" ht="33" x14ac:dyDescent="0.3">
      <c r="A36" s="105"/>
      <c r="B36" s="105"/>
      <c r="C36" s="105"/>
      <c r="D36" s="108" t="s">
        <v>246</v>
      </c>
      <c r="E36" s="123">
        <v>-222620</v>
      </c>
      <c r="F36" s="123">
        <v>-222620</v>
      </c>
      <c r="G36" s="123">
        <v>-222620</v>
      </c>
      <c r="H36" s="123">
        <v>-222620</v>
      </c>
    </row>
    <row r="37" spans="1:8" ht="33" x14ac:dyDescent="0.3">
      <c r="A37" s="247">
        <v>11</v>
      </c>
      <c r="B37" s="247"/>
      <c r="C37" s="247"/>
      <c r="D37" s="248" t="s">
        <v>261</v>
      </c>
      <c r="E37" s="249">
        <f>SUM(E39)</f>
        <v>0</v>
      </c>
      <c r="F37" s="249">
        <f t="shared" ref="F37:H37" si="11">SUM(F39)</f>
        <v>0</v>
      </c>
      <c r="G37" s="249">
        <f t="shared" si="11"/>
        <v>40000</v>
      </c>
      <c r="H37" s="249">
        <f t="shared" si="11"/>
        <v>40000</v>
      </c>
    </row>
    <row r="38" spans="1:8" x14ac:dyDescent="0.3">
      <c r="A38" s="247"/>
      <c r="B38" s="247"/>
      <c r="C38" s="247"/>
      <c r="D38" s="247" t="s">
        <v>8</v>
      </c>
      <c r="E38" s="250"/>
      <c r="F38" s="250"/>
      <c r="G38" s="250"/>
      <c r="H38" s="250"/>
    </row>
    <row r="39" spans="1:8" ht="33" x14ac:dyDescent="0.3">
      <c r="A39" s="247"/>
      <c r="B39" s="98" t="s">
        <v>12</v>
      </c>
      <c r="C39" s="247"/>
      <c r="D39" s="251" t="s">
        <v>262</v>
      </c>
      <c r="E39" s="250">
        <f>SUM(E41)</f>
        <v>0</v>
      </c>
      <c r="F39" s="250">
        <f>SUM(F41)</f>
        <v>0</v>
      </c>
      <c r="G39" s="250">
        <f t="shared" ref="G39:H39" si="12">SUM(G41)</f>
        <v>40000</v>
      </c>
      <c r="H39" s="250">
        <f t="shared" si="12"/>
        <v>40000</v>
      </c>
    </row>
    <row r="40" spans="1:8" x14ac:dyDescent="0.3">
      <c r="A40" s="247"/>
      <c r="B40" s="247"/>
      <c r="C40" s="247"/>
      <c r="D40" s="247" t="s">
        <v>8</v>
      </c>
      <c r="E40" s="250"/>
      <c r="F40" s="250"/>
      <c r="G40" s="250"/>
      <c r="H40" s="250"/>
    </row>
    <row r="41" spans="1:8" x14ac:dyDescent="0.3">
      <c r="A41" s="247"/>
      <c r="B41" s="247"/>
      <c r="C41" s="98" t="s">
        <v>12</v>
      </c>
      <c r="D41" s="247" t="s">
        <v>263</v>
      </c>
      <c r="E41" s="250">
        <v>0</v>
      </c>
      <c r="F41" s="250">
        <f>SUM(F43)</f>
        <v>0</v>
      </c>
      <c r="G41" s="250">
        <f t="shared" ref="G41:H41" si="13">SUM(G43)</f>
        <v>40000</v>
      </c>
      <c r="H41" s="250">
        <f t="shared" si="13"/>
        <v>40000</v>
      </c>
    </row>
    <row r="42" spans="1:8" x14ac:dyDescent="0.3">
      <c r="A42" s="252"/>
      <c r="B42" s="252"/>
      <c r="C42" s="252"/>
      <c r="D42" s="247" t="s">
        <v>8</v>
      </c>
      <c r="E42" s="253"/>
      <c r="F42" s="250"/>
      <c r="G42" s="250"/>
      <c r="H42" s="250"/>
    </row>
    <row r="43" spans="1:8" ht="33" x14ac:dyDescent="0.3">
      <c r="A43" s="252"/>
      <c r="B43" s="252"/>
      <c r="C43" s="252"/>
      <c r="D43" s="247" t="s">
        <v>264</v>
      </c>
      <c r="E43" s="250">
        <v>0</v>
      </c>
      <c r="F43" s="250">
        <v>0</v>
      </c>
      <c r="G43" s="250">
        <v>40000</v>
      </c>
      <c r="H43" s="250">
        <v>40000</v>
      </c>
    </row>
    <row r="44" spans="1:8" x14ac:dyDescent="0.3">
      <c r="A44" s="252"/>
      <c r="B44" s="252"/>
      <c r="C44" s="252"/>
      <c r="D44" s="254" t="s">
        <v>172</v>
      </c>
      <c r="E44" s="250">
        <v>0</v>
      </c>
      <c r="F44" s="250">
        <v>0</v>
      </c>
      <c r="G44" s="250">
        <v>40000</v>
      </c>
      <c r="H44" s="250">
        <v>40000</v>
      </c>
    </row>
  </sheetData>
  <mergeCells count="9">
    <mergeCell ref="D1:H1"/>
    <mergeCell ref="D2:H2"/>
    <mergeCell ref="D3:H3"/>
    <mergeCell ref="A4:H4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view="pageBreakPreview" topLeftCell="A53" zoomScale="106" zoomScaleNormal="100" zoomScaleSheetLayoutView="106" workbookViewId="0">
      <selection activeCell="F15" sqref="F15"/>
    </sheetView>
  </sheetViews>
  <sheetFormatPr defaultRowHeight="13.5" x14ac:dyDescent="0.25"/>
  <cols>
    <col min="1" max="1" width="4" style="61" customWidth="1"/>
    <col min="2" max="2" width="4.7109375" style="61" customWidth="1"/>
    <col min="3" max="3" width="5.28515625" style="61" customWidth="1"/>
    <col min="4" max="4" width="6.28515625" style="61" customWidth="1"/>
    <col min="5" max="5" width="42.7109375" style="61" customWidth="1"/>
    <col min="6" max="6" width="17.7109375" style="59" bestFit="1" customWidth="1"/>
    <col min="7" max="7" width="19.5703125" style="59" customWidth="1"/>
    <col min="8" max="8" width="18.42578125" style="59" customWidth="1"/>
    <col min="9" max="9" width="19.5703125" style="59" customWidth="1"/>
    <col min="10" max="10" width="15" style="61" customWidth="1"/>
    <col min="11" max="11" width="13.28515625" style="61" customWidth="1"/>
    <col min="12" max="237" width="9.140625" style="61"/>
    <col min="238" max="238" width="6.28515625" style="61" customWidth="1"/>
    <col min="239" max="239" width="7.5703125" style="61" customWidth="1"/>
    <col min="240" max="240" width="9.140625" style="61" customWidth="1"/>
    <col min="241" max="241" width="42.28515625" style="61" customWidth="1"/>
    <col min="242" max="242" width="16.7109375" style="61" customWidth="1"/>
    <col min="243" max="243" width="17.7109375" style="61" bestFit="1" customWidth="1"/>
    <col min="244" max="244" width="16.85546875" style="61" bestFit="1" customWidth="1"/>
    <col min="245" max="245" width="15.42578125" style="61" customWidth="1"/>
    <col min="246" max="246" width="14.28515625" style="61" customWidth="1"/>
    <col min="247" max="265" width="0" style="61" hidden="1" customWidth="1"/>
    <col min="266" max="266" width="9.140625" style="61"/>
    <col min="267" max="267" width="13.28515625" style="61" customWidth="1"/>
    <col min="268" max="493" width="9.140625" style="61"/>
    <col min="494" max="494" width="6.28515625" style="61" customWidth="1"/>
    <col min="495" max="495" width="7.5703125" style="61" customWidth="1"/>
    <col min="496" max="496" width="9.140625" style="61" customWidth="1"/>
    <col min="497" max="497" width="42.28515625" style="61" customWidth="1"/>
    <col min="498" max="498" width="16.7109375" style="61" customWidth="1"/>
    <col min="499" max="499" width="17.7109375" style="61" bestFit="1" customWidth="1"/>
    <col min="500" max="500" width="16.85546875" style="61" bestFit="1" customWidth="1"/>
    <col min="501" max="501" width="15.42578125" style="61" customWidth="1"/>
    <col min="502" max="502" width="14.28515625" style="61" customWidth="1"/>
    <col min="503" max="521" width="0" style="61" hidden="1" customWidth="1"/>
    <col min="522" max="522" width="9.140625" style="61"/>
    <col min="523" max="523" width="13.28515625" style="61" customWidth="1"/>
    <col min="524" max="749" width="9.140625" style="61"/>
    <col min="750" max="750" width="6.28515625" style="61" customWidth="1"/>
    <col min="751" max="751" width="7.5703125" style="61" customWidth="1"/>
    <col min="752" max="752" width="9.140625" style="61" customWidth="1"/>
    <col min="753" max="753" width="42.28515625" style="61" customWidth="1"/>
    <col min="754" max="754" width="16.7109375" style="61" customWidth="1"/>
    <col min="755" max="755" width="17.7109375" style="61" bestFit="1" customWidth="1"/>
    <col min="756" max="756" width="16.85546875" style="61" bestFit="1" customWidth="1"/>
    <col min="757" max="757" width="15.42578125" style="61" customWidth="1"/>
    <col min="758" max="758" width="14.28515625" style="61" customWidth="1"/>
    <col min="759" max="777" width="0" style="61" hidden="1" customWidth="1"/>
    <col min="778" max="778" width="9.140625" style="61"/>
    <col min="779" max="779" width="13.28515625" style="61" customWidth="1"/>
    <col min="780" max="1005" width="9.140625" style="61"/>
    <col min="1006" max="1006" width="6.28515625" style="61" customWidth="1"/>
    <col min="1007" max="1007" width="7.5703125" style="61" customWidth="1"/>
    <col min="1008" max="1008" width="9.140625" style="61" customWidth="1"/>
    <col min="1009" max="1009" width="42.28515625" style="61" customWidth="1"/>
    <col min="1010" max="1010" width="16.7109375" style="61" customWidth="1"/>
    <col min="1011" max="1011" width="17.7109375" style="61" bestFit="1" customWidth="1"/>
    <col min="1012" max="1012" width="16.85546875" style="61" bestFit="1" customWidth="1"/>
    <col min="1013" max="1013" width="15.42578125" style="61" customWidth="1"/>
    <col min="1014" max="1014" width="14.28515625" style="61" customWidth="1"/>
    <col min="1015" max="1033" width="0" style="61" hidden="1" customWidth="1"/>
    <col min="1034" max="1034" width="9.140625" style="61"/>
    <col min="1035" max="1035" width="13.28515625" style="61" customWidth="1"/>
    <col min="1036" max="1261" width="9.140625" style="61"/>
    <col min="1262" max="1262" width="6.28515625" style="61" customWidth="1"/>
    <col min="1263" max="1263" width="7.5703125" style="61" customWidth="1"/>
    <col min="1264" max="1264" width="9.140625" style="61" customWidth="1"/>
    <col min="1265" max="1265" width="42.28515625" style="61" customWidth="1"/>
    <col min="1266" max="1266" width="16.7109375" style="61" customWidth="1"/>
    <col min="1267" max="1267" width="17.7109375" style="61" bestFit="1" customWidth="1"/>
    <col min="1268" max="1268" width="16.85546875" style="61" bestFit="1" customWidth="1"/>
    <col min="1269" max="1269" width="15.42578125" style="61" customWidth="1"/>
    <col min="1270" max="1270" width="14.28515625" style="61" customWidth="1"/>
    <col min="1271" max="1289" width="0" style="61" hidden="1" customWidth="1"/>
    <col min="1290" max="1290" width="9.140625" style="61"/>
    <col min="1291" max="1291" width="13.28515625" style="61" customWidth="1"/>
    <col min="1292" max="1517" width="9.140625" style="61"/>
    <col min="1518" max="1518" width="6.28515625" style="61" customWidth="1"/>
    <col min="1519" max="1519" width="7.5703125" style="61" customWidth="1"/>
    <col min="1520" max="1520" width="9.140625" style="61" customWidth="1"/>
    <col min="1521" max="1521" width="42.28515625" style="61" customWidth="1"/>
    <col min="1522" max="1522" width="16.7109375" style="61" customWidth="1"/>
    <col min="1523" max="1523" width="17.7109375" style="61" bestFit="1" customWidth="1"/>
    <col min="1524" max="1524" width="16.85546875" style="61" bestFit="1" customWidth="1"/>
    <col min="1525" max="1525" width="15.42578125" style="61" customWidth="1"/>
    <col min="1526" max="1526" width="14.28515625" style="61" customWidth="1"/>
    <col min="1527" max="1545" width="0" style="61" hidden="1" customWidth="1"/>
    <col min="1546" max="1546" width="9.140625" style="61"/>
    <col min="1547" max="1547" width="13.28515625" style="61" customWidth="1"/>
    <col min="1548" max="1773" width="9.140625" style="61"/>
    <col min="1774" max="1774" width="6.28515625" style="61" customWidth="1"/>
    <col min="1775" max="1775" width="7.5703125" style="61" customWidth="1"/>
    <col min="1776" max="1776" width="9.140625" style="61" customWidth="1"/>
    <col min="1777" max="1777" width="42.28515625" style="61" customWidth="1"/>
    <col min="1778" max="1778" width="16.7109375" style="61" customWidth="1"/>
    <col min="1779" max="1779" width="17.7109375" style="61" bestFit="1" customWidth="1"/>
    <col min="1780" max="1780" width="16.85546875" style="61" bestFit="1" customWidth="1"/>
    <col min="1781" max="1781" width="15.42578125" style="61" customWidth="1"/>
    <col min="1782" max="1782" width="14.28515625" style="61" customWidth="1"/>
    <col min="1783" max="1801" width="0" style="61" hidden="1" customWidth="1"/>
    <col min="1802" max="1802" width="9.140625" style="61"/>
    <col min="1803" max="1803" width="13.28515625" style="61" customWidth="1"/>
    <col min="1804" max="2029" width="9.140625" style="61"/>
    <col min="2030" max="2030" width="6.28515625" style="61" customWidth="1"/>
    <col min="2031" max="2031" width="7.5703125" style="61" customWidth="1"/>
    <col min="2032" max="2032" width="9.140625" style="61" customWidth="1"/>
    <col min="2033" max="2033" width="42.28515625" style="61" customWidth="1"/>
    <col min="2034" max="2034" width="16.7109375" style="61" customWidth="1"/>
    <col min="2035" max="2035" width="17.7109375" style="61" bestFit="1" customWidth="1"/>
    <col min="2036" max="2036" width="16.85546875" style="61" bestFit="1" customWidth="1"/>
    <col min="2037" max="2037" width="15.42578125" style="61" customWidth="1"/>
    <col min="2038" max="2038" width="14.28515625" style="61" customWidth="1"/>
    <col min="2039" max="2057" width="0" style="61" hidden="1" customWidth="1"/>
    <col min="2058" max="2058" width="9.140625" style="61"/>
    <col min="2059" max="2059" width="13.28515625" style="61" customWidth="1"/>
    <col min="2060" max="2285" width="9.140625" style="61"/>
    <col min="2286" max="2286" width="6.28515625" style="61" customWidth="1"/>
    <col min="2287" max="2287" width="7.5703125" style="61" customWidth="1"/>
    <col min="2288" max="2288" width="9.140625" style="61" customWidth="1"/>
    <col min="2289" max="2289" width="42.28515625" style="61" customWidth="1"/>
    <col min="2290" max="2290" width="16.7109375" style="61" customWidth="1"/>
    <col min="2291" max="2291" width="17.7109375" style="61" bestFit="1" customWidth="1"/>
    <col min="2292" max="2292" width="16.85546875" style="61" bestFit="1" customWidth="1"/>
    <col min="2293" max="2293" width="15.42578125" style="61" customWidth="1"/>
    <col min="2294" max="2294" width="14.28515625" style="61" customWidth="1"/>
    <col min="2295" max="2313" width="0" style="61" hidden="1" customWidth="1"/>
    <col min="2314" max="2314" width="9.140625" style="61"/>
    <col min="2315" max="2315" width="13.28515625" style="61" customWidth="1"/>
    <col min="2316" max="2541" width="9.140625" style="61"/>
    <col min="2542" max="2542" width="6.28515625" style="61" customWidth="1"/>
    <col min="2543" max="2543" width="7.5703125" style="61" customWidth="1"/>
    <col min="2544" max="2544" width="9.140625" style="61" customWidth="1"/>
    <col min="2545" max="2545" width="42.28515625" style="61" customWidth="1"/>
    <col min="2546" max="2546" width="16.7109375" style="61" customWidth="1"/>
    <col min="2547" max="2547" width="17.7109375" style="61" bestFit="1" customWidth="1"/>
    <col min="2548" max="2548" width="16.85546875" style="61" bestFit="1" customWidth="1"/>
    <col min="2549" max="2549" width="15.42578125" style="61" customWidth="1"/>
    <col min="2550" max="2550" width="14.28515625" style="61" customWidth="1"/>
    <col min="2551" max="2569" width="0" style="61" hidden="1" customWidth="1"/>
    <col min="2570" max="2570" width="9.140625" style="61"/>
    <col min="2571" max="2571" width="13.28515625" style="61" customWidth="1"/>
    <col min="2572" max="2797" width="9.140625" style="61"/>
    <col min="2798" max="2798" width="6.28515625" style="61" customWidth="1"/>
    <col min="2799" max="2799" width="7.5703125" style="61" customWidth="1"/>
    <col min="2800" max="2800" width="9.140625" style="61" customWidth="1"/>
    <col min="2801" max="2801" width="42.28515625" style="61" customWidth="1"/>
    <col min="2802" max="2802" width="16.7109375" style="61" customWidth="1"/>
    <col min="2803" max="2803" width="17.7109375" style="61" bestFit="1" customWidth="1"/>
    <col min="2804" max="2804" width="16.85546875" style="61" bestFit="1" customWidth="1"/>
    <col min="2805" max="2805" width="15.42578125" style="61" customWidth="1"/>
    <col min="2806" max="2806" width="14.28515625" style="61" customWidth="1"/>
    <col min="2807" max="2825" width="0" style="61" hidden="1" customWidth="1"/>
    <col min="2826" max="2826" width="9.140625" style="61"/>
    <col min="2827" max="2827" width="13.28515625" style="61" customWidth="1"/>
    <col min="2828" max="3053" width="9.140625" style="61"/>
    <col min="3054" max="3054" width="6.28515625" style="61" customWidth="1"/>
    <col min="3055" max="3055" width="7.5703125" style="61" customWidth="1"/>
    <col min="3056" max="3056" width="9.140625" style="61" customWidth="1"/>
    <col min="3057" max="3057" width="42.28515625" style="61" customWidth="1"/>
    <col min="3058" max="3058" width="16.7109375" style="61" customWidth="1"/>
    <col min="3059" max="3059" width="17.7109375" style="61" bestFit="1" customWidth="1"/>
    <col min="3060" max="3060" width="16.85546875" style="61" bestFit="1" customWidth="1"/>
    <col min="3061" max="3061" width="15.42578125" style="61" customWidth="1"/>
    <col min="3062" max="3062" width="14.28515625" style="61" customWidth="1"/>
    <col min="3063" max="3081" width="0" style="61" hidden="1" customWidth="1"/>
    <col min="3082" max="3082" width="9.140625" style="61"/>
    <col min="3083" max="3083" width="13.28515625" style="61" customWidth="1"/>
    <col min="3084" max="3309" width="9.140625" style="61"/>
    <col min="3310" max="3310" width="6.28515625" style="61" customWidth="1"/>
    <col min="3311" max="3311" width="7.5703125" style="61" customWidth="1"/>
    <col min="3312" max="3312" width="9.140625" style="61" customWidth="1"/>
    <col min="3313" max="3313" width="42.28515625" style="61" customWidth="1"/>
    <col min="3314" max="3314" width="16.7109375" style="61" customWidth="1"/>
    <col min="3315" max="3315" width="17.7109375" style="61" bestFit="1" customWidth="1"/>
    <col min="3316" max="3316" width="16.85546875" style="61" bestFit="1" customWidth="1"/>
    <col min="3317" max="3317" width="15.42578125" style="61" customWidth="1"/>
    <col min="3318" max="3318" width="14.28515625" style="61" customWidth="1"/>
    <col min="3319" max="3337" width="0" style="61" hidden="1" customWidth="1"/>
    <col min="3338" max="3338" width="9.140625" style="61"/>
    <col min="3339" max="3339" width="13.28515625" style="61" customWidth="1"/>
    <col min="3340" max="3565" width="9.140625" style="61"/>
    <col min="3566" max="3566" width="6.28515625" style="61" customWidth="1"/>
    <col min="3567" max="3567" width="7.5703125" style="61" customWidth="1"/>
    <col min="3568" max="3568" width="9.140625" style="61" customWidth="1"/>
    <col min="3569" max="3569" width="42.28515625" style="61" customWidth="1"/>
    <col min="3570" max="3570" width="16.7109375" style="61" customWidth="1"/>
    <col min="3571" max="3571" width="17.7109375" style="61" bestFit="1" customWidth="1"/>
    <col min="3572" max="3572" width="16.85546875" style="61" bestFit="1" customWidth="1"/>
    <col min="3573" max="3573" width="15.42578125" style="61" customWidth="1"/>
    <col min="3574" max="3574" width="14.28515625" style="61" customWidth="1"/>
    <col min="3575" max="3593" width="0" style="61" hidden="1" customWidth="1"/>
    <col min="3594" max="3594" width="9.140625" style="61"/>
    <col min="3595" max="3595" width="13.28515625" style="61" customWidth="1"/>
    <col min="3596" max="3821" width="9.140625" style="61"/>
    <col min="3822" max="3822" width="6.28515625" style="61" customWidth="1"/>
    <col min="3823" max="3823" width="7.5703125" style="61" customWidth="1"/>
    <col min="3824" max="3824" width="9.140625" style="61" customWidth="1"/>
    <col min="3825" max="3825" width="42.28515625" style="61" customWidth="1"/>
    <col min="3826" max="3826" width="16.7109375" style="61" customWidth="1"/>
    <col min="3827" max="3827" width="17.7109375" style="61" bestFit="1" customWidth="1"/>
    <col min="3828" max="3828" width="16.85546875" style="61" bestFit="1" customWidth="1"/>
    <col min="3829" max="3829" width="15.42578125" style="61" customWidth="1"/>
    <col min="3830" max="3830" width="14.28515625" style="61" customWidth="1"/>
    <col min="3831" max="3849" width="0" style="61" hidden="1" customWidth="1"/>
    <col min="3850" max="3850" width="9.140625" style="61"/>
    <col min="3851" max="3851" width="13.28515625" style="61" customWidth="1"/>
    <col min="3852" max="4077" width="9.140625" style="61"/>
    <col min="4078" max="4078" width="6.28515625" style="61" customWidth="1"/>
    <col min="4079" max="4079" width="7.5703125" style="61" customWidth="1"/>
    <col min="4080" max="4080" width="9.140625" style="61" customWidth="1"/>
    <col min="4081" max="4081" width="42.28515625" style="61" customWidth="1"/>
    <col min="4082" max="4082" width="16.7109375" style="61" customWidth="1"/>
    <col min="4083" max="4083" width="17.7109375" style="61" bestFit="1" customWidth="1"/>
    <col min="4084" max="4084" width="16.85546875" style="61" bestFit="1" customWidth="1"/>
    <col min="4085" max="4085" width="15.42578125" style="61" customWidth="1"/>
    <col min="4086" max="4086" width="14.28515625" style="61" customWidth="1"/>
    <col min="4087" max="4105" width="0" style="61" hidden="1" customWidth="1"/>
    <col min="4106" max="4106" width="9.140625" style="61"/>
    <col min="4107" max="4107" width="13.28515625" style="61" customWidth="1"/>
    <col min="4108" max="4333" width="9.140625" style="61"/>
    <col min="4334" max="4334" width="6.28515625" style="61" customWidth="1"/>
    <col min="4335" max="4335" width="7.5703125" style="61" customWidth="1"/>
    <col min="4336" max="4336" width="9.140625" style="61" customWidth="1"/>
    <col min="4337" max="4337" width="42.28515625" style="61" customWidth="1"/>
    <col min="4338" max="4338" width="16.7109375" style="61" customWidth="1"/>
    <col min="4339" max="4339" width="17.7109375" style="61" bestFit="1" customWidth="1"/>
    <col min="4340" max="4340" width="16.85546875" style="61" bestFit="1" customWidth="1"/>
    <col min="4341" max="4341" width="15.42578125" style="61" customWidth="1"/>
    <col min="4342" max="4342" width="14.28515625" style="61" customWidth="1"/>
    <col min="4343" max="4361" width="0" style="61" hidden="1" customWidth="1"/>
    <col min="4362" max="4362" width="9.140625" style="61"/>
    <col min="4363" max="4363" width="13.28515625" style="61" customWidth="1"/>
    <col min="4364" max="4589" width="9.140625" style="61"/>
    <col min="4590" max="4590" width="6.28515625" style="61" customWidth="1"/>
    <col min="4591" max="4591" width="7.5703125" style="61" customWidth="1"/>
    <col min="4592" max="4592" width="9.140625" style="61" customWidth="1"/>
    <col min="4593" max="4593" width="42.28515625" style="61" customWidth="1"/>
    <col min="4594" max="4594" width="16.7109375" style="61" customWidth="1"/>
    <col min="4595" max="4595" width="17.7109375" style="61" bestFit="1" customWidth="1"/>
    <col min="4596" max="4596" width="16.85546875" style="61" bestFit="1" customWidth="1"/>
    <col min="4597" max="4597" width="15.42578125" style="61" customWidth="1"/>
    <col min="4598" max="4598" width="14.28515625" style="61" customWidth="1"/>
    <col min="4599" max="4617" width="0" style="61" hidden="1" customWidth="1"/>
    <col min="4618" max="4618" width="9.140625" style="61"/>
    <col min="4619" max="4619" width="13.28515625" style="61" customWidth="1"/>
    <col min="4620" max="4845" width="9.140625" style="61"/>
    <col min="4846" max="4846" width="6.28515625" style="61" customWidth="1"/>
    <col min="4847" max="4847" width="7.5703125" style="61" customWidth="1"/>
    <col min="4848" max="4848" width="9.140625" style="61" customWidth="1"/>
    <col min="4849" max="4849" width="42.28515625" style="61" customWidth="1"/>
    <col min="4850" max="4850" width="16.7109375" style="61" customWidth="1"/>
    <col min="4851" max="4851" width="17.7109375" style="61" bestFit="1" customWidth="1"/>
    <col min="4852" max="4852" width="16.85546875" style="61" bestFit="1" customWidth="1"/>
    <col min="4853" max="4853" width="15.42578125" style="61" customWidth="1"/>
    <col min="4854" max="4854" width="14.28515625" style="61" customWidth="1"/>
    <col min="4855" max="4873" width="0" style="61" hidden="1" customWidth="1"/>
    <col min="4874" max="4874" width="9.140625" style="61"/>
    <col min="4875" max="4875" width="13.28515625" style="61" customWidth="1"/>
    <col min="4876" max="5101" width="9.140625" style="61"/>
    <col min="5102" max="5102" width="6.28515625" style="61" customWidth="1"/>
    <col min="5103" max="5103" width="7.5703125" style="61" customWidth="1"/>
    <col min="5104" max="5104" width="9.140625" style="61" customWidth="1"/>
    <col min="5105" max="5105" width="42.28515625" style="61" customWidth="1"/>
    <col min="5106" max="5106" width="16.7109375" style="61" customWidth="1"/>
    <col min="5107" max="5107" width="17.7109375" style="61" bestFit="1" customWidth="1"/>
    <col min="5108" max="5108" width="16.85546875" style="61" bestFit="1" customWidth="1"/>
    <col min="5109" max="5109" width="15.42578125" style="61" customWidth="1"/>
    <col min="5110" max="5110" width="14.28515625" style="61" customWidth="1"/>
    <col min="5111" max="5129" width="0" style="61" hidden="1" customWidth="1"/>
    <col min="5130" max="5130" width="9.140625" style="61"/>
    <col min="5131" max="5131" width="13.28515625" style="61" customWidth="1"/>
    <col min="5132" max="5357" width="9.140625" style="61"/>
    <col min="5358" max="5358" width="6.28515625" style="61" customWidth="1"/>
    <col min="5359" max="5359" width="7.5703125" style="61" customWidth="1"/>
    <col min="5360" max="5360" width="9.140625" style="61" customWidth="1"/>
    <col min="5361" max="5361" width="42.28515625" style="61" customWidth="1"/>
    <col min="5362" max="5362" width="16.7109375" style="61" customWidth="1"/>
    <col min="5363" max="5363" width="17.7109375" style="61" bestFit="1" customWidth="1"/>
    <col min="5364" max="5364" width="16.85546875" style="61" bestFit="1" customWidth="1"/>
    <col min="5365" max="5365" width="15.42578125" style="61" customWidth="1"/>
    <col min="5366" max="5366" width="14.28515625" style="61" customWidth="1"/>
    <col min="5367" max="5385" width="0" style="61" hidden="1" customWidth="1"/>
    <col min="5386" max="5386" width="9.140625" style="61"/>
    <col min="5387" max="5387" width="13.28515625" style="61" customWidth="1"/>
    <col min="5388" max="5613" width="9.140625" style="61"/>
    <col min="5614" max="5614" width="6.28515625" style="61" customWidth="1"/>
    <col min="5615" max="5615" width="7.5703125" style="61" customWidth="1"/>
    <col min="5616" max="5616" width="9.140625" style="61" customWidth="1"/>
    <col min="5617" max="5617" width="42.28515625" style="61" customWidth="1"/>
    <col min="5618" max="5618" width="16.7109375" style="61" customWidth="1"/>
    <col min="5619" max="5619" width="17.7109375" style="61" bestFit="1" customWidth="1"/>
    <col min="5620" max="5620" width="16.85546875" style="61" bestFit="1" customWidth="1"/>
    <col min="5621" max="5621" width="15.42578125" style="61" customWidth="1"/>
    <col min="5622" max="5622" width="14.28515625" style="61" customWidth="1"/>
    <col min="5623" max="5641" width="0" style="61" hidden="1" customWidth="1"/>
    <col min="5642" max="5642" width="9.140625" style="61"/>
    <col min="5643" max="5643" width="13.28515625" style="61" customWidth="1"/>
    <col min="5644" max="5869" width="9.140625" style="61"/>
    <col min="5870" max="5870" width="6.28515625" style="61" customWidth="1"/>
    <col min="5871" max="5871" width="7.5703125" style="61" customWidth="1"/>
    <col min="5872" max="5872" width="9.140625" style="61" customWidth="1"/>
    <col min="5873" max="5873" width="42.28515625" style="61" customWidth="1"/>
    <col min="5874" max="5874" width="16.7109375" style="61" customWidth="1"/>
    <col min="5875" max="5875" width="17.7109375" style="61" bestFit="1" customWidth="1"/>
    <col min="5876" max="5876" width="16.85546875" style="61" bestFit="1" customWidth="1"/>
    <col min="5877" max="5877" width="15.42578125" style="61" customWidth="1"/>
    <col min="5878" max="5878" width="14.28515625" style="61" customWidth="1"/>
    <col min="5879" max="5897" width="0" style="61" hidden="1" customWidth="1"/>
    <col min="5898" max="5898" width="9.140625" style="61"/>
    <col min="5899" max="5899" width="13.28515625" style="61" customWidth="1"/>
    <col min="5900" max="6125" width="9.140625" style="61"/>
    <col min="6126" max="6126" width="6.28515625" style="61" customWidth="1"/>
    <col min="6127" max="6127" width="7.5703125" style="61" customWidth="1"/>
    <col min="6128" max="6128" width="9.140625" style="61" customWidth="1"/>
    <col min="6129" max="6129" width="42.28515625" style="61" customWidth="1"/>
    <col min="6130" max="6130" width="16.7109375" style="61" customWidth="1"/>
    <col min="6131" max="6131" width="17.7109375" style="61" bestFit="1" customWidth="1"/>
    <col min="6132" max="6132" width="16.85546875" style="61" bestFit="1" customWidth="1"/>
    <col min="6133" max="6133" width="15.42578125" style="61" customWidth="1"/>
    <col min="6134" max="6134" width="14.28515625" style="61" customWidth="1"/>
    <col min="6135" max="6153" width="0" style="61" hidden="1" customWidth="1"/>
    <col min="6154" max="6154" width="9.140625" style="61"/>
    <col min="6155" max="6155" width="13.28515625" style="61" customWidth="1"/>
    <col min="6156" max="6381" width="9.140625" style="61"/>
    <col min="6382" max="6382" width="6.28515625" style="61" customWidth="1"/>
    <col min="6383" max="6383" width="7.5703125" style="61" customWidth="1"/>
    <col min="6384" max="6384" width="9.140625" style="61" customWidth="1"/>
    <col min="6385" max="6385" width="42.28515625" style="61" customWidth="1"/>
    <col min="6386" max="6386" width="16.7109375" style="61" customWidth="1"/>
    <col min="6387" max="6387" width="17.7109375" style="61" bestFit="1" customWidth="1"/>
    <col min="6388" max="6388" width="16.85546875" style="61" bestFit="1" customWidth="1"/>
    <col min="6389" max="6389" width="15.42578125" style="61" customWidth="1"/>
    <col min="6390" max="6390" width="14.28515625" style="61" customWidth="1"/>
    <col min="6391" max="6409" width="0" style="61" hidden="1" customWidth="1"/>
    <col min="6410" max="6410" width="9.140625" style="61"/>
    <col min="6411" max="6411" width="13.28515625" style="61" customWidth="1"/>
    <col min="6412" max="6637" width="9.140625" style="61"/>
    <col min="6638" max="6638" width="6.28515625" style="61" customWidth="1"/>
    <col min="6639" max="6639" width="7.5703125" style="61" customWidth="1"/>
    <col min="6640" max="6640" width="9.140625" style="61" customWidth="1"/>
    <col min="6641" max="6641" width="42.28515625" style="61" customWidth="1"/>
    <col min="6642" max="6642" width="16.7109375" style="61" customWidth="1"/>
    <col min="6643" max="6643" width="17.7109375" style="61" bestFit="1" customWidth="1"/>
    <col min="6644" max="6644" width="16.85546875" style="61" bestFit="1" customWidth="1"/>
    <col min="6645" max="6645" width="15.42578125" style="61" customWidth="1"/>
    <col min="6646" max="6646" width="14.28515625" style="61" customWidth="1"/>
    <col min="6647" max="6665" width="0" style="61" hidden="1" customWidth="1"/>
    <col min="6666" max="6666" width="9.140625" style="61"/>
    <col min="6667" max="6667" width="13.28515625" style="61" customWidth="1"/>
    <col min="6668" max="6893" width="9.140625" style="61"/>
    <col min="6894" max="6894" width="6.28515625" style="61" customWidth="1"/>
    <col min="6895" max="6895" width="7.5703125" style="61" customWidth="1"/>
    <col min="6896" max="6896" width="9.140625" style="61" customWidth="1"/>
    <col min="6897" max="6897" width="42.28515625" style="61" customWidth="1"/>
    <col min="6898" max="6898" width="16.7109375" style="61" customWidth="1"/>
    <col min="6899" max="6899" width="17.7109375" style="61" bestFit="1" customWidth="1"/>
    <col min="6900" max="6900" width="16.85546875" style="61" bestFit="1" customWidth="1"/>
    <col min="6901" max="6901" width="15.42578125" style="61" customWidth="1"/>
    <col min="6902" max="6902" width="14.28515625" style="61" customWidth="1"/>
    <col min="6903" max="6921" width="0" style="61" hidden="1" customWidth="1"/>
    <col min="6922" max="6922" width="9.140625" style="61"/>
    <col min="6923" max="6923" width="13.28515625" style="61" customWidth="1"/>
    <col min="6924" max="7149" width="9.140625" style="61"/>
    <col min="7150" max="7150" width="6.28515625" style="61" customWidth="1"/>
    <col min="7151" max="7151" width="7.5703125" style="61" customWidth="1"/>
    <col min="7152" max="7152" width="9.140625" style="61" customWidth="1"/>
    <col min="7153" max="7153" width="42.28515625" style="61" customWidth="1"/>
    <col min="7154" max="7154" width="16.7109375" style="61" customWidth="1"/>
    <col min="7155" max="7155" width="17.7109375" style="61" bestFit="1" customWidth="1"/>
    <col min="7156" max="7156" width="16.85546875" style="61" bestFit="1" customWidth="1"/>
    <col min="7157" max="7157" width="15.42578125" style="61" customWidth="1"/>
    <col min="7158" max="7158" width="14.28515625" style="61" customWidth="1"/>
    <col min="7159" max="7177" width="0" style="61" hidden="1" customWidth="1"/>
    <col min="7178" max="7178" width="9.140625" style="61"/>
    <col min="7179" max="7179" width="13.28515625" style="61" customWidth="1"/>
    <col min="7180" max="7405" width="9.140625" style="61"/>
    <col min="7406" max="7406" width="6.28515625" style="61" customWidth="1"/>
    <col min="7407" max="7407" width="7.5703125" style="61" customWidth="1"/>
    <col min="7408" max="7408" width="9.140625" style="61" customWidth="1"/>
    <col min="7409" max="7409" width="42.28515625" style="61" customWidth="1"/>
    <col min="7410" max="7410" width="16.7109375" style="61" customWidth="1"/>
    <col min="7411" max="7411" width="17.7109375" style="61" bestFit="1" customWidth="1"/>
    <col min="7412" max="7412" width="16.85546875" style="61" bestFit="1" customWidth="1"/>
    <col min="7413" max="7413" width="15.42578125" style="61" customWidth="1"/>
    <col min="7414" max="7414" width="14.28515625" style="61" customWidth="1"/>
    <col min="7415" max="7433" width="0" style="61" hidden="1" customWidth="1"/>
    <col min="7434" max="7434" width="9.140625" style="61"/>
    <col min="7435" max="7435" width="13.28515625" style="61" customWidth="1"/>
    <col min="7436" max="7661" width="9.140625" style="61"/>
    <col min="7662" max="7662" width="6.28515625" style="61" customWidth="1"/>
    <col min="7663" max="7663" width="7.5703125" style="61" customWidth="1"/>
    <col min="7664" max="7664" width="9.140625" style="61" customWidth="1"/>
    <col min="7665" max="7665" width="42.28515625" style="61" customWidth="1"/>
    <col min="7666" max="7666" width="16.7109375" style="61" customWidth="1"/>
    <col min="7667" max="7667" width="17.7109375" style="61" bestFit="1" customWidth="1"/>
    <col min="7668" max="7668" width="16.85546875" style="61" bestFit="1" customWidth="1"/>
    <col min="7669" max="7669" width="15.42578125" style="61" customWidth="1"/>
    <col min="7670" max="7670" width="14.28515625" style="61" customWidth="1"/>
    <col min="7671" max="7689" width="0" style="61" hidden="1" customWidth="1"/>
    <col min="7690" max="7690" width="9.140625" style="61"/>
    <col min="7691" max="7691" width="13.28515625" style="61" customWidth="1"/>
    <col min="7692" max="7917" width="9.140625" style="61"/>
    <col min="7918" max="7918" width="6.28515625" style="61" customWidth="1"/>
    <col min="7919" max="7919" width="7.5703125" style="61" customWidth="1"/>
    <col min="7920" max="7920" width="9.140625" style="61" customWidth="1"/>
    <col min="7921" max="7921" width="42.28515625" style="61" customWidth="1"/>
    <col min="7922" max="7922" width="16.7109375" style="61" customWidth="1"/>
    <col min="7923" max="7923" width="17.7109375" style="61" bestFit="1" customWidth="1"/>
    <col min="7924" max="7924" width="16.85546875" style="61" bestFit="1" customWidth="1"/>
    <col min="7925" max="7925" width="15.42578125" style="61" customWidth="1"/>
    <col min="7926" max="7926" width="14.28515625" style="61" customWidth="1"/>
    <col min="7927" max="7945" width="0" style="61" hidden="1" customWidth="1"/>
    <col min="7946" max="7946" width="9.140625" style="61"/>
    <col min="7947" max="7947" width="13.28515625" style="61" customWidth="1"/>
    <col min="7948" max="8173" width="9.140625" style="61"/>
    <col min="8174" max="8174" width="6.28515625" style="61" customWidth="1"/>
    <col min="8175" max="8175" width="7.5703125" style="61" customWidth="1"/>
    <col min="8176" max="8176" width="9.140625" style="61" customWidth="1"/>
    <col min="8177" max="8177" width="42.28515625" style="61" customWidth="1"/>
    <col min="8178" max="8178" width="16.7109375" style="61" customWidth="1"/>
    <col min="8179" max="8179" width="17.7109375" style="61" bestFit="1" customWidth="1"/>
    <col min="8180" max="8180" width="16.85546875" style="61" bestFit="1" customWidth="1"/>
    <col min="8181" max="8181" width="15.42578125" style="61" customWidth="1"/>
    <col min="8182" max="8182" width="14.28515625" style="61" customWidth="1"/>
    <col min="8183" max="8201" width="0" style="61" hidden="1" customWidth="1"/>
    <col min="8202" max="8202" width="9.140625" style="61"/>
    <col min="8203" max="8203" width="13.28515625" style="61" customWidth="1"/>
    <col min="8204" max="8429" width="9.140625" style="61"/>
    <col min="8430" max="8430" width="6.28515625" style="61" customWidth="1"/>
    <col min="8431" max="8431" width="7.5703125" style="61" customWidth="1"/>
    <col min="8432" max="8432" width="9.140625" style="61" customWidth="1"/>
    <col min="8433" max="8433" width="42.28515625" style="61" customWidth="1"/>
    <col min="8434" max="8434" width="16.7109375" style="61" customWidth="1"/>
    <col min="8435" max="8435" width="17.7109375" style="61" bestFit="1" customWidth="1"/>
    <col min="8436" max="8436" width="16.85546875" style="61" bestFit="1" customWidth="1"/>
    <col min="8437" max="8437" width="15.42578125" style="61" customWidth="1"/>
    <col min="8438" max="8438" width="14.28515625" style="61" customWidth="1"/>
    <col min="8439" max="8457" width="0" style="61" hidden="1" customWidth="1"/>
    <col min="8458" max="8458" width="9.140625" style="61"/>
    <col min="8459" max="8459" width="13.28515625" style="61" customWidth="1"/>
    <col min="8460" max="8685" width="9.140625" style="61"/>
    <col min="8686" max="8686" width="6.28515625" style="61" customWidth="1"/>
    <col min="8687" max="8687" width="7.5703125" style="61" customWidth="1"/>
    <col min="8688" max="8688" width="9.140625" style="61" customWidth="1"/>
    <col min="8689" max="8689" width="42.28515625" style="61" customWidth="1"/>
    <col min="8690" max="8690" width="16.7109375" style="61" customWidth="1"/>
    <col min="8691" max="8691" width="17.7109375" style="61" bestFit="1" customWidth="1"/>
    <col min="8692" max="8692" width="16.85546875" style="61" bestFit="1" customWidth="1"/>
    <col min="8693" max="8693" width="15.42578125" style="61" customWidth="1"/>
    <col min="8694" max="8694" width="14.28515625" style="61" customWidth="1"/>
    <col min="8695" max="8713" width="0" style="61" hidden="1" customWidth="1"/>
    <col min="8714" max="8714" width="9.140625" style="61"/>
    <col min="8715" max="8715" width="13.28515625" style="61" customWidth="1"/>
    <col min="8716" max="8941" width="9.140625" style="61"/>
    <col min="8942" max="8942" width="6.28515625" style="61" customWidth="1"/>
    <col min="8943" max="8943" width="7.5703125" style="61" customWidth="1"/>
    <col min="8944" max="8944" width="9.140625" style="61" customWidth="1"/>
    <col min="8945" max="8945" width="42.28515625" style="61" customWidth="1"/>
    <col min="8946" max="8946" width="16.7109375" style="61" customWidth="1"/>
    <col min="8947" max="8947" width="17.7109375" style="61" bestFit="1" customWidth="1"/>
    <col min="8948" max="8948" width="16.85546875" style="61" bestFit="1" customWidth="1"/>
    <col min="8949" max="8949" width="15.42578125" style="61" customWidth="1"/>
    <col min="8950" max="8950" width="14.28515625" style="61" customWidth="1"/>
    <col min="8951" max="8969" width="0" style="61" hidden="1" customWidth="1"/>
    <col min="8970" max="8970" width="9.140625" style="61"/>
    <col min="8971" max="8971" width="13.28515625" style="61" customWidth="1"/>
    <col min="8972" max="9197" width="9.140625" style="61"/>
    <col min="9198" max="9198" width="6.28515625" style="61" customWidth="1"/>
    <col min="9199" max="9199" width="7.5703125" style="61" customWidth="1"/>
    <col min="9200" max="9200" width="9.140625" style="61" customWidth="1"/>
    <col min="9201" max="9201" width="42.28515625" style="61" customWidth="1"/>
    <col min="9202" max="9202" width="16.7109375" style="61" customWidth="1"/>
    <col min="9203" max="9203" width="17.7109375" style="61" bestFit="1" customWidth="1"/>
    <col min="9204" max="9204" width="16.85546875" style="61" bestFit="1" customWidth="1"/>
    <col min="9205" max="9205" width="15.42578125" style="61" customWidth="1"/>
    <col min="9206" max="9206" width="14.28515625" style="61" customWidth="1"/>
    <col min="9207" max="9225" width="0" style="61" hidden="1" customWidth="1"/>
    <col min="9226" max="9226" width="9.140625" style="61"/>
    <col min="9227" max="9227" width="13.28515625" style="61" customWidth="1"/>
    <col min="9228" max="9453" width="9.140625" style="61"/>
    <col min="9454" max="9454" width="6.28515625" style="61" customWidth="1"/>
    <col min="9455" max="9455" width="7.5703125" style="61" customWidth="1"/>
    <col min="9456" max="9456" width="9.140625" style="61" customWidth="1"/>
    <col min="9457" max="9457" width="42.28515625" style="61" customWidth="1"/>
    <col min="9458" max="9458" width="16.7109375" style="61" customWidth="1"/>
    <col min="9459" max="9459" width="17.7109375" style="61" bestFit="1" customWidth="1"/>
    <col min="9460" max="9460" width="16.85546875" style="61" bestFit="1" customWidth="1"/>
    <col min="9461" max="9461" width="15.42578125" style="61" customWidth="1"/>
    <col min="9462" max="9462" width="14.28515625" style="61" customWidth="1"/>
    <col min="9463" max="9481" width="0" style="61" hidden="1" customWidth="1"/>
    <col min="9482" max="9482" width="9.140625" style="61"/>
    <col min="9483" max="9483" width="13.28515625" style="61" customWidth="1"/>
    <col min="9484" max="9709" width="9.140625" style="61"/>
    <col min="9710" max="9710" width="6.28515625" style="61" customWidth="1"/>
    <col min="9711" max="9711" width="7.5703125" style="61" customWidth="1"/>
    <col min="9712" max="9712" width="9.140625" style="61" customWidth="1"/>
    <col min="9713" max="9713" width="42.28515625" style="61" customWidth="1"/>
    <col min="9714" max="9714" width="16.7109375" style="61" customWidth="1"/>
    <col min="9715" max="9715" width="17.7109375" style="61" bestFit="1" customWidth="1"/>
    <col min="9716" max="9716" width="16.85546875" style="61" bestFit="1" customWidth="1"/>
    <col min="9717" max="9717" width="15.42578125" style="61" customWidth="1"/>
    <col min="9718" max="9718" width="14.28515625" style="61" customWidth="1"/>
    <col min="9719" max="9737" width="0" style="61" hidden="1" customWidth="1"/>
    <col min="9738" max="9738" width="9.140625" style="61"/>
    <col min="9739" max="9739" width="13.28515625" style="61" customWidth="1"/>
    <col min="9740" max="9965" width="9.140625" style="61"/>
    <col min="9966" max="9966" width="6.28515625" style="61" customWidth="1"/>
    <col min="9967" max="9967" width="7.5703125" style="61" customWidth="1"/>
    <col min="9968" max="9968" width="9.140625" style="61" customWidth="1"/>
    <col min="9969" max="9969" width="42.28515625" style="61" customWidth="1"/>
    <col min="9970" max="9970" width="16.7109375" style="61" customWidth="1"/>
    <col min="9971" max="9971" width="17.7109375" style="61" bestFit="1" customWidth="1"/>
    <col min="9972" max="9972" width="16.85546875" style="61" bestFit="1" customWidth="1"/>
    <col min="9973" max="9973" width="15.42578125" style="61" customWidth="1"/>
    <col min="9974" max="9974" width="14.28515625" style="61" customWidth="1"/>
    <col min="9975" max="9993" width="0" style="61" hidden="1" customWidth="1"/>
    <col min="9994" max="9994" width="9.140625" style="61"/>
    <col min="9995" max="9995" width="13.28515625" style="61" customWidth="1"/>
    <col min="9996" max="10221" width="9.140625" style="61"/>
    <col min="10222" max="10222" width="6.28515625" style="61" customWidth="1"/>
    <col min="10223" max="10223" width="7.5703125" style="61" customWidth="1"/>
    <col min="10224" max="10224" width="9.140625" style="61" customWidth="1"/>
    <col min="10225" max="10225" width="42.28515625" style="61" customWidth="1"/>
    <col min="10226" max="10226" width="16.7109375" style="61" customWidth="1"/>
    <col min="10227" max="10227" width="17.7109375" style="61" bestFit="1" customWidth="1"/>
    <col min="10228" max="10228" width="16.85546875" style="61" bestFit="1" customWidth="1"/>
    <col min="10229" max="10229" width="15.42578125" style="61" customWidth="1"/>
    <col min="10230" max="10230" width="14.28515625" style="61" customWidth="1"/>
    <col min="10231" max="10249" width="0" style="61" hidden="1" customWidth="1"/>
    <col min="10250" max="10250" width="9.140625" style="61"/>
    <col min="10251" max="10251" width="13.28515625" style="61" customWidth="1"/>
    <col min="10252" max="10477" width="9.140625" style="61"/>
    <col min="10478" max="10478" width="6.28515625" style="61" customWidth="1"/>
    <col min="10479" max="10479" width="7.5703125" style="61" customWidth="1"/>
    <col min="10480" max="10480" width="9.140625" style="61" customWidth="1"/>
    <col min="10481" max="10481" width="42.28515625" style="61" customWidth="1"/>
    <col min="10482" max="10482" width="16.7109375" style="61" customWidth="1"/>
    <col min="10483" max="10483" width="17.7109375" style="61" bestFit="1" customWidth="1"/>
    <col min="10484" max="10484" width="16.85546875" style="61" bestFit="1" customWidth="1"/>
    <col min="10485" max="10485" width="15.42578125" style="61" customWidth="1"/>
    <col min="10486" max="10486" width="14.28515625" style="61" customWidth="1"/>
    <col min="10487" max="10505" width="0" style="61" hidden="1" customWidth="1"/>
    <col min="10506" max="10506" width="9.140625" style="61"/>
    <col min="10507" max="10507" width="13.28515625" style="61" customWidth="1"/>
    <col min="10508" max="10733" width="9.140625" style="61"/>
    <col min="10734" max="10734" width="6.28515625" style="61" customWidth="1"/>
    <col min="10735" max="10735" width="7.5703125" style="61" customWidth="1"/>
    <col min="10736" max="10736" width="9.140625" style="61" customWidth="1"/>
    <col min="10737" max="10737" width="42.28515625" style="61" customWidth="1"/>
    <col min="10738" max="10738" width="16.7109375" style="61" customWidth="1"/>
    <col min="10739" max="10739" width="17.7109375" style="61" bestFit="1" customWidth="1"/>
    <col min="10740" max="10740" width="16.85546875" style="61" bestFit="1" customWidth="1"/>
    <col min="10741" max="10741" width="15.42578125" style="61" customWidth="1"/>
    <col min="10742" max="10742" width="14.28515625" style="61" customWidth="1"/>
    <col min="10743" max="10761" width="0" style="61" hidden="1" customWidth="1"/>
    <col min="10762" max="10762" width="9.140625" style="61"/>
    <col min="10763" max="10763" width="13.28515625" style="61" customWidth="1"/>
    <col min="10764" max="10989" width="9.140625" style="61"/>
    <col min="10990" max="10990" width="6.28515625" style="61" customWidth="1"/>
    <col min="10991" max="10991" width="7.5703125" style="61" customWidth="1"/>
    <col min="10992" max="10992" width="9.140625" style="61" customWidth="1"/>
    <col min="10993" max="10993" width="42.28515625" style="61" customWidth="1"/>
    <col min="10994" max="10994" width="16.7109375" style="61" customWidth="1"/>
    <col min="10995" max="10995" width="17.7109375" style="61" bestFit="1" customWidth="1"/>
    <col min="10996" max="10996" width="16.85546875" style="61" bestFit="1" customWidth="1"/>
    <col min="10997" max="10997" width="15.42578125" style="61" customWidth="1"/>
    <col min="10998" max="10998" width="14.28515625" style="61" customWidth="1"/>
    <col min="10999" max="11017" width="0" style="61" hidden="1" customWidth="1"/>
    <col min="11018" max="11018" width="9.140625" style="61"/>
    <col min="11019" max="11019" width="13.28515625" style="61" customWidth="1"/>
    <col min="11020" max="11245" width="9.140625" style="61"/>
    <col min="11246" max="11246" width="6.28515625" style="61" customWidth="1"/>
    <col min="11247" max="11247" width="7.5703125" style="61" customWidth="1"/>
    <col min="11248" max="11248" width="9.140625" style="61" customWidth="1"/>
    <col min="11249" max="11249" width="42.28515625" style="61" customWidth="1"/>
    <col min="11250" max="11250" width="16.7109375" style="61" customWidth="1"/>
    <col min="11251" max="11251" width="17.7109375" style="61" bestFit="1" customWidth="1"/>
    <col min="11252" max="11252" width="16.85546875" style="61" bestFit="1" customWidth="1"/>
    <col min="11253" max="11253" width="15.42578125" style="61" customWidth="1"/>
    <col min="11254" max="11254" width="14.28515625" style="61" customWidth="1"/>
    <col min="11255" max="11273" width="0" style="61" hidden="1" customWidth="1"/>
    <col min="11274" max="11274" width="9.140625" style="61"/>
    <col min="11275" max="11275" width="13.28515625" style="61" customWidth="1"/>
    <col min="11276" max="11501" width="9.140625" style="61"/>
    <col min="11502" max="11502" width="6.28515625" style="61" customWidth="1"/>
    <col min="11503" max="11503" width="7.5703125" style="61" customWidth="1"/>
    <col min="11504" max="11504" width="9.140625" style="61" customWidth="1"/>
    <col min="11505" max="11505" width="42.28515625" style="61" customWidth="1"/>
    <col min="11506" max="11506" width="16.7109375" style="61" customWidth="1"/>
    <col min="11507" max="11507" width="17.7109375" style="61" bestFit="1" customWidth="1"/>
    <col min="11508" max="11508" width="16.85546875" style="61" bestFit="1" customWidth="1"/>
    <col min="11509" max="11509" width="15.42578125" style="61" customWidth="1"/>
    <col min="11510" max="11510" width="14.28515625" style="61" customWidth="1"/>
    <col min="11511" max="11529" width="0" style="61" hidden="1" customWidth="1"/>
    <col min="11530" max="11530" width="9.140625" style="61"/>
    <col min="11531" max="11531" width="13.28515625" style="61" customWidth="1"/>
    <col min="11532" max="11757" width="9.140625" style="61"/>
    <col min="11758" max="11758" width="6.28515625" style="61" customWidth="1"/>
    <col min="11759" max="11759" width="7.5703125" style="61" customWidth="1"/>
    <col min="11760" max="11760" width="9.140625" style="61" customWidth="1"/>
    <col min="11761" max="11761" width="42.28515625" style="61" customWidth="1"/>
    <col min="11762" max="11762" width="16.7109375" style="61" customWidth="1"/>
    <col min="11763" max="11763" width="17.7109375" style="61" bestFit="1" customWidth="1"/>
    <col min="11764" max="11764" width="16.85546875" style="61" bestFit="1" customWidth="1"/>
    <col min="11765" max="11765" width="15.42578125" style="61" customWidth="1"/>
    <col min="11766" max="11766" width="14.28515625" style="61" customWidth="1"/>
    <col min="11767" max="11785" width="0" style="61" hidden="1" customWidth="1"/>
    <col min="11786" max="11786" width="9.140625" style="61"/>
    <col min="11787" max="11787" width="13.28515625" style="61" customWidth="1"/>
    <col min="11788" max="12013" width="9.140625" style="61"/>
    <col min="12014" max="12014" width="6.28515625" style="61" customWidth="1"/>
    <col min="12015" max="12015" width="7.5703125" style="61" customWidth="1"/>
    <col min="12016" max="12016" width="9.140625" style="61" customWidth="1"/>
    <col min="12017" max="12017" width="42.28515625" style="61" customWidth="1"/>
    <col min="12018" max="12018" width="16.7109375" style="61" customWidth="1"/>
    <col min="12019" max="12019" width="17.7109375" style="61" bestFit="1" customWidth="1"/>
    <col min="12020" max="12020" width="16.85546875" style="61" bestFit="1" customWidth="1"/>
    <col min="12021" max="12021" width="15.42578125" style="61" customWidth="1"/>
    <col min="12022" max="12022" width="14.28515625" style="61" customWidth="1"/>
    <col min="12023" max="12041" width="0" style="61" hidden="1" customWidth="1"/>
    <col min="12042" max="12042" width="9.140625" style="61"/>
    <col min="12043" max="12043" width="13.28515625" style="61" customWidth="1"/>
    <col min="12044" max="12269" width="9.140625" style="61"/>
    <col min="12270" max="12270" width="6.28515625" style="61" customWidth="1"/>
    <col min="12271" max="12271" width="7.5703125" style="61" customWidth="1"/>
    <col min="12272" max="12272" width="9.140625" style="61" customWidth="1"/>
    <col min="12273" max="12273" width="42.28515625" style="61" customWidth="1"/>
    <col min="12274" max="12274" width="16.7109375" style="61" customWidth="1"/>
    <col min="12275" max="12275" width="17.7109375" style="61" bestFit="1" customWidth="1"/>
    <col min="12276" max="12276" width="16.85546875" style="61" bestFit="1" customWidth="1"/>
    <col min="12277" max="12277" width="15.42578125" style="61" customWidth="1"/>
    <col min="12278" max="12278" width="14.28515625" style="61" customWidth="1"/>
    <col min="12279" max="12297" width="0" style="61" hidden="1" customWidth="1"/>
    <col min="12298" max="12298" width="9.140625" style="61"/>
    <col min="12299" max="12299" width="13.28515625" style="61" customWidth="1"/>
    <col min="12300" max="12525" width="9.140625" style="61"/>
    <col min="12526" max="12526" width="6.28515625" style="61" customWidth="1"/>
    <col min="12527" max="12527" width="7.5703125" style="61" customWidth="1"/>
    <col min="12528" max="12528" width="9.140625" style="61" customWidth="1"/>
    <col min="12529" max="12529" width="42.28515625" style="61" customWidth="1"/>
    <col min="12530" max="12530" width="16.7109375" style="61" customWidth="1"/>
    <col min="12531" max="12531" width="17.7109375" style="61" bestFit="1" customWidth="1"/>
    <col min="12532" max="12532" width="16.85546875" style="61" bestFit="1" customWidth="1"/>
    <col min="12533" max="12533" width="15.42578125" style="61" customWidth="1"/>
    <col min="12534" max="12534" width="14.28515625" style="61" customWidth="1"/>
    <col min="12535" max="12553" width="0" style="61" hidden="1" customWidth="1"/>
    <col min="12554" max="12554" width="9.140625" style="61"/>
    <col min="12555" max="12555" width="13.28515625" style="61" customWidth="1"/>
    <col min="12556" max="12781" width="9.140625" style="61"/>
    <col min="12782" max="12782" width="6.28515625" style="61" customWidth="1"/>
    <col min="12783" max="12783" width="7.5703125" style="61" customWidth="1"/>
    <col min="12784" max="12784" width="9.140625" style="61" customWidth="1"/>
    <col min="12785" max="12785" width="42.28515625" style="61" customWidth="1"/>
    <col min="12786" max="12786" width="16.7109375" style="61" customWidth="1"/>
    <col min="12787" max="12787" width="17.7109375" style="61" bestFit="1" customWidth="1"/>
    <col min="12788" max="12788" width="16.85546875" style="61" bestFit="1" customWidth="1"/>
    <col min="12789" max="12789" width="15.42578125" style="61" customWidth="1"/>
    <col min="12790" max="12790" width="14.28515625" style="61" customWidth="1"/>
    <col min="12791" max="12809" width="0" style="61" hidden="1" customWidth="1"/>
    <col min="12810" max="12810" width="9.140625" style="61"/>
    <col min="12811" max="12811" width="13.28515625" style="61" customWidth="1"/>
    <col min="12812" max="13037" width="9.140625" style="61"/>
    <col min="13038" max="13038" width="6.28515625" style="61" customWidth="1"/>
    <col min="13039" max="13039" width="7.5703125" style="61" customWidth="1"/>
    <col min="13040" max="13040" width="9.140625" style="61" customWidth="1"/>
    <col min="13041" max="13041" width="42.28515625" style="61" customWidth="1"/>
    <col min="13042" max="13042" width="16.7109375" style="61" customWidth="1"/>
    <col min="13043" max="13043" width="17.7109375" style="61" bestFit="1" customWidth="1"/>
    <col min="13044" max="13044" width="16.85546875" style="61" bestFit="1" customWidth="1"/>
    <col min="13045" max="13045" width="15.42578125" style="61" customWidth="1"/>
    <col min="13046" max="13046" width="14.28515625" style="61" customWidth="1"/>
    <col min="13047" max="13065" width="0" style="61" hidden="1" customWidth="1"/>
    <col min="13066" max="13066" width="9.140625" style="61"/>
    <col min="13067" max="13067" width="13.28515625" style="61" customWidth="1"/>
    <col min="13068" max="13293" width="9.140625" style="61"/>
    <col min="13294" max="13294" width="6.28515625" style="61" customWidth="1"/>
    <col min="13295" max="13295" width="7.5703125" style="61" customWidth="1"/>
    <col min="13296" max="13296" width="9.140625" style="61" customWidth="1"/>
    <col min="13297" max="13297" width="42.28515625" style="61" customWidth="1"/>
    <col min="13298" max="13298" width="16.7109375" style="61" customWidth="1"/>
    <col min="13299" max="13299" width="17.7109375" style="61" bestFit="1" customWidth="1"/>
    <col min="13300" max="13300" width="16.85546875" style="61" bestFit="1" customWidth="1"/>
    <col min="13301" max="13301" width="15.42578125" style="61" customWidth="1"/>
    <col min="13302" max="13302" width="14.28515625" style="61" customWidth="1"/>
    <col min="13303" max="13321" width="0" style="61" hidden="1" customWidth="1"/>
    <col min="13322" max="13322" width="9.140625" style="61"/>
    <col min="13323" max="13323" width="13.28515625" style="61" customWidth="1"/>
    <col min="13324" max="13549" width="9.140625" style="61"/>
    <col min="13550" max="13550" width="6.28515625" style="61" customWidth="1"/>
    <col min="13551" max="13551" width="7.5703125" style="61" customWidth="1"/>
    <col min="13552" max="13552" width="9.140625" style="61" customWidth="1"/>
    <col min="13553" max="13553" width="42.28515625" style="61" customWidth="1"/>
    <col min="13554" max="13554" width="16.7109375" style="61" customWidth="1"/>
    <col min="13555" max="13555" width="17.7109375" style="61" bestFit="1" customWidth="1"/>
    <col min="13556" max="13556" width="16.85546875" style="61" bestFit="1" customWidth="1"/>
    <col min="13557" max="13557" width="15.42578125" style="61" customWidth="1"/>
    <col min="13558" max="13558" width="14.28515625" style="61" customWidth="1"/>
    <col min="13559" max="13577" width="0" style="61" hidden="1" customWidth="1"/>
    <col min="13578" max="13578" width="9.140625" style="61"/>
    <col min="13579" max="13579" width="13.28515625" style="61" customWidth="1"/>
    <col min="13580" max="13805" width="9.140625" style="61"/>
    <col min="13806" max="13806" width="6.28515625" style="61" customWidth="1"/>
    <col min="13807" max="13807" width="7.5703125" style="61" customWidth="1"/>
    <col min="13808" max="13808" width="9.140625" style="61" customWidth="1"/>
    <col min="13809" max="13809" width="42.28515625" style="61" customWidth="1"/>
    <col min="13810" max="13810" width="16.7109375" style="61" customWidth="1"/>
    <col min="13811" max="13811" width="17.7109375" style="61" bestFit="1" customWidth="1"/>
    <col min="13812" max="13812" width="16.85546875" style="61" bestFit="1" customWidth="1"/>
    <col min="13813" max="13813" width="15.42578125" style="61" customWidth="1"/>
    <col min="13814" max="13814" width="14.28515625" style="61" customWidth="1"/>
    <col min="13815" max="13833" width="0" style="61" hidden="1" customWidth="1"/>
    <col min="13834" max="13834" width="9.140625" style="61"/>
    <col min="13835" max="13835" width="13.28515625" style="61" customWidth="1"/>
    <col min="13836" max="14061" width="9.140625" style="61"/>
    <col min="14062" max="14062" width="6.28515625" style="61" customWidth="1"/>
    <col min="14063" max="14063" width="7.5703125" style="61" customWidth="1"/>
    <col min="14064" max="14064" width="9.140625" style="61" customWidth="1"/>
    <col min="14065" max="14065" width="42.28515625" style="61" customWidth="1"/>
    <col min="14066" max="14066" width="16.7109375" style="61" customWidth="1"/>
    <col min="14067" max="14067" width="17.7109375" style="61" bestFit="1" customWidth="1"/>
    <col min="14068" max="14068" width="16.85546875" style="61" bestFit="1" customWidth="1"/>
    <col min="14069" max="14069" width="15.42578125" style="61" customWidth="1"/>
    <col min="14070" max="14070" width="14.28515625" style="61" customWidth="1"/>
    <col min="14071" max="14089" width="0" style="61" hidden="1" customWidth="1"/>
    <col min="14090" max="14090" width="9.140625" style="61"/>
    <col min="14091" max="14091" width="13.28515625" style="61" customWidth="1"/>
    <col min="14092" max="14317" width="9.140625" style="61"/>
    <col min="14318" max="14318" width="6.28515625" style="61" customWidth="1"/>
    <col min="14319" max="14319" width="7.5703125" style="61" customWidth="1"/>
    <col min="14320" max="14320" width="9.140625" style="61" customWidth="1"/>
    <col min="14321" max="14321" width="42.28515625" style="61" customWidth="1"/>
    <col min="14322" max="14322" width="16.7109375" style="61" customWidth="1"/>
    <col min="14323" max="14323" width="17.7109375" style="61" bestFit="1" customWidth="1"/>
    <col min="14324" max="14324" width="16.85546875" style="61" bestFit="1" customWidth="1"/>
    <col min="14325" max="14325" width="15.42578125" style="61" customWidth="1"/>
    <col min="14326" max="14326" width="14.28515625" style="61" customWidth="1"/>
    <col min="14327" max="14345" width="0" style="61" hidden="1" customWidth="1"/>
    <col min="14346" max="14346" width="9.140625" style="61"/>
    <col min="14347" max="14347" width="13.28515625" style="61" customWidth="1"/>
    <col min="14348" max="14573" width="9.140625" style="61"/>
    <col min="14574" max="14574" width="6.28515625" style="61" customWidth="1"/>
    <col min="14575" max="14575" width="7.5703125" style="61" customWidth="1"/>
    <col min="14576" max="14576" width="9.140625" style="61" customWidth="1"/>
    <col min="14577" max="14577" width="42.28515625" style="61" customWidth="1"/>
    <col min="14578" max="14578" width="16.7109375" style="61" customWidth="1"/>
    <col min="14579" max="14579" width="17.7109375" style="61" bestFit="1" customWidth="1"/>
    <col min="14580" max="14580" width="16.85546875" style="61" bestFit="1" customWidth="1"/>
    <col min="14581" max="14581" width="15.42578125" style="61" customWidth="1"/>
    <col min="14582" max="14582" width="14.28515625" style="61" customWidth="1"/>
    <col min="14583" max="14601" width="0" style="61" hidden="1" customWidth="1"/>
    <col min="14602" max="14602" width="9.140625" style="61"/>
    <col min="14603" max="14603" width="13.28515625" style="61" customWidth="1"/>
    <col min="14604" max="14829" width="9.140625" style="61"/>
    <col min="14830" max="14830" width="6.28515625" style="61" customWidth="1"/>
    <col min="14831" max="14831" width="7.5703125" style="61" customWidth="1"/>
    <col min="14832" max="14832" width="9.140625" style="61" customWidth="1"/>
    <col min="14833" max="14833" width="42.28515625" style="61" customWidth="1"/>
    <col min="14834" max="14834" width="16.7109375" style="61" customWidth="1"/>
    <col min="14835" max="14835" width="17.7109375" style="61" bestFit="1" customWidth="1"/>
    <col min="14836" max="14836" width="16.85546875" style="61" bestFit="1" customWidth="1"/>
    <col min="14837" max="14837" width="15.42578125" style="61" customWidth="1"/>
    <col min="14838" max="14838" width="14.28515625" style="61" customWidth="1"/>
    <col min="14839" max="14857" width="0" style="61" hidden="1" customWidth="1"/>
    <col min="14858" max="14858" width="9.140625" style="61"/>
    <col min="14859" max="14859" width="13.28515625" style="61" customWidth="1"/>
    <col min="14860" max="15085" width="9.140625" style="61"/>
    <col min="15086" max="15086" width="6.28515625" style="61" customWidth="1"/>
    <col min="15087" max="15087" width="7.5703125" style="61" customWidth="1"/>
    <col min="15088" max="15088" width="9.140625" style="61" customWidth="1"/>
    <col min="15089" max="15089" width="42.28515625" style="61" customWidth="1"/>
    <col min="15090" max="15090" width="16.7109375" style="61" customWidth="1"/>
    <col min="15091" max="15091" width="17.7109375" style="61" bestFit="1" customWidth="1"/>
    <col min="15092" max="15092" width="16.85546875" style="61" bestFit="1" customWidth="1"/>
    <col min="15093" max="15093" width="15.42578125" style="61" customWidth="1"/>
    <col min="15094" max="15094" width="14.28515625" style="61" customWidth="1"/>
    <col min="15095" max="15113" width="0" style="61" hidden="1" customWidth="1"/>
    <col min="15114" max="15114" width="9.140625" style="61"/>
    <col min="15115" max="15115" width="13.28515625" style="61" customWidth="1"/>
    <col min="15116" max="15341" width="9.140625" style="61"/>
    <col min="15342" max="15342" width="6.28515625" style="61" customWidth="1"/>
    <col min="15343" max="15343" width="7.5703125" style="61" customWidth="1"/>
    <col min="15344" max="15344" width="9.140625" style="61" customWidth="1"/>
    <col min="15345" max="15345" width="42.28515625" style="61" customWidth="1"/>
    <col min="15346" max="15346" width="16.7109375" style="61" customWidth="1"/>
    <col min="15347" max="15347" width="17.7109375" style="61" bestFit="1" customWidth="1"/>
    <col min="15348" max="15348" width="16.85546875" style="61" bestFit="1" customWidth="1"/>
    <col min="15349" max="15349" width="15.42578125" style="61" customWidth="1"/>
    <col min="15350" max="15350" width="14.28515625" style="61" customWidth="1"/>
    <col min="15351" max="15369" width="0" style="61" hidden="1" customWidth="1"/>
    <col min="15370" max="15370" width="9.140625" style="61"/>
    <col min="15371" max="15371" width="13.28515625" style="61" customWidth="1"/>
    <col min="15372" max="15597" width="9.140625" style="61"/>
    <col min="15598" max="15598" width="6.28515625" style="61" customWidth="1"/>
    <col min="15599" max="15599" width="7.5703125" style="61" customWidth="1"/>
    <col min="15600" max="15600" width="9.140625" style="61" customWidth="1"/>
    <col min="15601" max="15601" width="42.28515625" style="61" customWidth="1"/>
    <col min="15602" max="15602" width="16.7109375" style="61" customWidth="1"/>
    <col min="15603" max="15603" width="17.7109375" style="61" bestFit="1" customWidth="1"/>
    <col min="15604" max="15604" width="16.85546875" style="61" bestFit="1" customWidth="1"/>
    <col min="15605" max="15605" width="15.42578125" style="61" customWidth="1"/>
    <col min="15606" max="15606" width="14.28515625" style="61" customWidth="1"/>
    <col min="15607" max="15625" width="0" style="61" hidden="1" customWidth="1"/>
    <col min="15626" max="15626" width="9.140625" style="61"/>
    <col min="15627" max="15627" width="13.28515625" style="61" customWidth="1"/>
    <col min="15628" max="15853" width="9.140625" style="61"/>
    <col min="15854" max="15854" width="6.28515625" style="61" customWidth="1"/>
    <col min="15855" max="15855" width="7.5703125" style="61" customWidth="1"/>
    <col min="15856" max="15856" width="9.140625" style="61" customWidth="1"/>
    <col min="15857" max="15857" width="42.28515625" style="61" customWidth="1"/>
    <col min="15858" max="15858" width="16.7109375" style="61" customWidth="1"/>
    <col min="15859" max="15859" width="17.7109375" style="61" bestFit="1" customWidth="1"/>
    <col min="15860" max="15860" width="16.85546875" style="61" bestFit="1" customWidth="1"/>
    <col min="15861" max="15861" width="15.42578125" style="61" customWidth="1"/>
    <col min="15862" max="15862" width="14.28515625" style="61" customWidth="1"/>
    <col min="15863" max="15881" width="0" style="61" hidden="1" customWidth="1"/>
    <col min="15882" max="15882" width="9.140625" style="61"/>
    <col min="15883" max="15883" width="13.28515625" style="61" customWidth="1"/>
    <col min="15884" max="16109" width="9.140625" style="61"/>
    <col min="16110" max="16110" width="6.28515625" style="61" customWidth="1"/>
    <col min="16111" max="16111" width="7.5703125" style="61" customWidth="1"/>
    <col min="16112" max="16112" width="9.140625" style="61" customWidth="1"/>
    <col min="16113" max="16113" width="42.28515625" style="61" customWidth="1"/>
    <col min="16114" max="16114" width="16.7109375" style="61" customWidth="1"/>
    <col min="16115" max="16115" width="17.7109375" style="61" bestFit="1" customWidth="1"/>
    <col min="16116" max="16116" width="16.85546875" style="61" bestFit="1" customWidth="1"/>
    <col min="16117" max="16117" width="15.42578125" style="61" customWidth="1"/>
    <col min="16118" max="16118" width="14.28515625" style="61" customWidth="1"/>
    <col min="16119" max="16137" width="0" style="61" hidden="1" customWidth="1"/>
    <col min="16138" max="16138" width="9.140625" style="61"/>
    <col min="16139" max="16139" width="13.28515625" style="61" customWidth="1"/>
    <col min="16140" max="16384" width="9.140625" style="61"/>
  </cols>
  <sheetData>
    <row r="1" spans="1:10" ht="14.25" x14ac:dyDescent="0.25">
      <c r="A1" s="59"/>
      <c r="B1" s="59"/>
      <c r="C1" s="59"/>
      <c r="D1" s="59"/>
      <c r="E1" s="59"/>
      <c r="F1" s="345" t="s">
        <v>61</v>
      </c>
      <c r="G1" s="345"/>
      <c r="H1" s="345"/>
      <c r="I1" s="345"/>
      <c r="J1" s="60"/>
    </row>
    <row r="2" spans="1:10" ht="14.25" x14ac:dyDescent="0.25">
      <c r="A2" s="59"/>
      <c r="B2" s="59"/>
      <c r="C2" s="59"/>
      <c r="D2" s="59"/>
      <c r="E2" s="59"/>
      <c r="F2" s="345" t="s">
        <v>83</v>
      </c>
      <c r="G2" s="345"/>
      <c r="H2" s="345"/>
      <c r="I2" s="345"/>
      <c r="J2" s="60"/>
    </row>
    <row r="3" spans="1:10" ht="14.25" x14ac:dyDescent="0.25">
      <c r="A3" s="59"/>
      <c r="B3" s="59"/>
      <c r="C3" s="59"/>
      <c r="D3" s="59"/>
      <c r="E3" s="59"/>
      <c r="F3" s="345" t="s">
        <v>62</v>
      </c>
      <c r="G3" s="345"/>
      <c r="H3" s="345"/>
      <c r="I3" s="345"/>
      <c r="J3" s="60"/>
    </row>
    <row r="4" spans="1:10" ht="14.25" x14ac:dyDescent="0.25">
      <c r="A4" s="59"/>
      <c r="B4" s="59"/>
      <c r="C4" s="59"/>
      <c r="D4" s="59"/>
      <c r="E4" s="59"/>
      <c r="F4" s="60"/>
      <c r="G4" s="60"/>
      <c r="H4" s="60"/>
      <c r="I4" s="60"/>
      <c r="J4" s="60"/>
    </row>
    <row r="5" spans="1:10" ht="63" customHeight="1" x14ac:dyDescent="0.3">
      <c r="B5" s="86"/>
      <c r="C5" s="86"/>
      <c r="D5" s="86"/>
      <c r="E5" s="344" t="s">
        <v>63</v>
      </c>
      <c r="F5" s="344"/>
      <c r="G5" s="344"/>
      <c r="H5" s="344"/>
      <c r="I5" s="344"/>
      <c r="J5" s="62"/>
    </row>
    <row r="6" spans="1:10" x14ac:dyDescent="0.25">
      <c r="A6" s="59"/>
      <c r="B6" s="59"/>
      <c r="C6" s="59"/>
      <c r="D6" s="59"/>
      <c r="E6" s="59"/>
      <c r="I6" s="63"/>
      <c r="J6" s="63" t="s">
        <v>64</v>
      </c>
    </row>
    <row r="7" spans="1:10" s="68" customFormat="1" ht="14.25" x14ac:dyDescent="0.25">
      <c r="A7" s="64"/>
      <c r="B7" s="64"/>
      <c r="C7" s="64"/>
      <c r="D7" s="65"/>
      <c r="E7" s="66"/>
      <c r="F7" s="78"/>
      <c r="G7" s="78"/>
      <c r="H7" s="78"/>
      <c r="I7" s="78"/>
      <c r="J7" s="67"/>
    </row>
    <row r="8" spans="1:10" s="68" customFormat="1" ht="42.75" customHeight="1" x14ac:dyDescent="0.25">
      <c r="A8" s="346" t="s">
        <v>66</v>
      </c>
      <c r="B8" s="347"/>
      <c r="C8" s="348"/>
      <c r="D8" s="355" t="s">
        <v>67</v>
      </c>
      <c r="E8" s="358" t="s">
        <v>68</v>
      </c>
      <c r="F8" s="362" t="s">
        <v>6</v>
      </c>
      <c r="G8" s="362"/>
      <c r="H8" s="362"/>
      <c r="I8" s="362"/>
      <c r="J8" s="362"/>
    </row>
    <row r="9" spans="1:10" s="69" customFormat="1" ht="38.25" customHeight="1" x14ac:dyDescent="0.25">
      <c r="A9" s="349"/>
      <c r="B9" s="350"/>
      <c r="C9" s="351"/>
      <c r="D9" s="356"/>
      <c r="E9" s="359"/>
      <c r="F9" s="361" t="s">
        <v>104</v>
      </c>
      <c r="G9" s="363" t="s">
        <v>8</v>
      </c>
      <c r="H9" s="363"/>
      <c r="I9" s="363"/>
      <c r="J9" s="363"/>
    </row>
    <row r="10" spans="1:10" s="69" customFormat="1" ht="13.5" customHeight="1" x14ac:dyDescent="0.25">
      <c r="A10" s="352"/>
      <c r="B10" s="353"/>
      <c r="C10" s="354"/>
      <c r="D10" s="356"/>
      <c r="E10" s="359"/>
      <c r="F10" s="361"/>
      <c r="G10" s="361" t="s">
        <v>105</v>
      </c>
      <c r="H10" s="361" t="s">
        <v>106</v>
      </c>
      <c r="I10" s="361" t="s">
        <v>107</v>
      </c>
      <c r="J10" s="364" t="s">
        <v>157</v>
      </c>
    </row>
    <row r="11" spans="1:10" s="69" customFormat="1" ht="87.75" customHeight="1" x14ac:dyDescent="0.25">
      <c r="A11" s="70" t="s">
        <v>69</v>
      </c>
      <c r="B11" s="70" t="s">
        <v>70</v>
      </c>
      <c r="C11" s="70" t="s">
        <v>71</v>
      </c>
      <c r="D11" s="357"/>
      <c r="E11" s="360"/>
      <c r="F11" s="361"/>
      <c r="G11" s="361"/>
      <c r="H11" s="361"/>
      <c r="I11" s="361"/>
      <c r="J11" s="364"/>
    </row>
    <row r="12" spans="1:10" s="71" customFormat="1" ht="30.75" customHeight="1" x14ac:dyDescent="0.25">
      <c r="A12" s="11"/>
      <c r="B12" s="11"/>
      <c r="C12" s="11"/>
      <c r="D12" s="12"/>
      <c r="E12" s="9" t="s">
        <v>72</v>
      </c>
      <c r="F12" s="79">
        <f>SUM(G12:J12)</f>
        <v>-40000</v>
      </c>
      <c r="G12" s="79">
        <f>SUM(G13+G227)</f>
        <v>0</v>
      </c>
      <c r="H12" s="79">
        <f>SUM(H13+H227)</f>
        <v>-104670</v>
      </c>
      <c r="I12" s="79">
        <f>SUM(I13+I227)</f>
        <v>64670</v>
      </c>
      <c r="J12" s="79">
        <f>SUM(J13+J227)</f>
        <v>0</v>
      </c>
    </row>
    <row r="13" spans="1:10" s="21" customFormat="1" ht="66" x14ac:dyDescent="0.25">
      <c r="A13" s="7"/>
      <c r="B13" s="7"/>
      <c r="C13" s="7"/>
      <c r="D13" s="8"/>
      <c r="E13" s="20" t="s">
        <v>9</v>
      </c>
      <c r="F13" s="79">
        <f>SUM(G13:J13)</f>
        <v>5840335.2999999998</v>
      </c>
      <c r="G13" s="79">
        <f t="shared" ref="G13:I13" si="0">SUM(G15+G179)</f>
        <v>0</v>
      </c>
      <c r="H13" s="79">
        <f t="shared" si="0"/>
        <v>5775665.2999999998</v>
      </c>
      <c r="I13" s="79">
        <f t="shared" si="0"/>
        <v>64670</v>
      </c>
      <c r="J13" s="73"/>
    </row>
    <row r="14" spans="1:10" s="21" customFormat="1" ht="16.5" x14ac:dyDescent="0.25">
      <c r="A14" s="7"/>
      <c r="B14" s="7"/>
      <c r="C14" s="7"/>
      <c r="D14" s="8"/>
      <c r="E14" s="22" t="s">
        <v>73</v>
      </c>
      <c r="F14" s="79">
        <f>SUM(G14:J14)</f>
        <v>0</v>
      </c>
      <c r="G14" s="81"/>
      <c r="H14" s="81"/>
      <c r="I14" s="81"/>
      <c r="J14" s="73"/>
    </row>
    <row r="15" spans="1:10" s="10" customFormat="1" ht="49.5" x14ac:dyDescent="0.25">
      <c r="A15" s="7" t="s">
        <v>10</v>
      </c>
      <c r="B15" s="7" t="s">
        <v>11</v>
      </c>
      <c r="C15" s="7" t="s">
        <v>12</v>
      </c>
      <c r="D15" s="24" t="s">
        <v>12</v>
      </c>
      <c r="E15" s="25" t="s">
        <v>59</v>
      </c>
      <c r="F15" s="79">
        <f>SUM(G15:J15)</f>
        <v>5497352.7999999998</v>
      </c>
      <c r="G15" s="82">
        <f t="shared" ref="G15" si="1">SUM(G17+G69+G111)</f>
        <v>0</v>
      </c>
      <c r="H15" s="82">
        <f>SUM(H17+H69+H111)</f>
        <v>5461712.7999999998</v>
      </c>
      <c r="I15" s="82">
        <f>SUM(I17+I155)</f>
        <v>35640</v>
      </c>
      <c r="J15" s="77"/>
    </row>
    <row r="16" spans="1:10" s="21" customFormat="1" ht="16.5" x14ac:dyDescent="0.25">
      <c r="A16" s="7"/>
      <c r="B16" s="7"/>
      <c r="C16" s="7"/>
      <c r="D16" s="8"/>
      <c r="E16" s="22" t="s">
        <v>73</v>
      </c>
      <c r="F16" s="79"/>
      <c r="G16" s="81"/>
      <c r="H16" s="81"/>
      <c r="I16" s="81"/>
      <c r="J16" s="73"/>
    </row>
    <row r="17" spans="1:10" s="21" customFormat="1" ht="33" x14ac:dyDescent="0.25">
      <c r="A17" s="7"/>
      <c r="B17" s="7"/>
      <c r="C17" s="7"/>
      <c r="D17" s="8"/>
      <c r="E17" s="9" t="s">
        <v>155</v>
      </c>
      <c r="F17" s="79">
        <f>SUM(G17:J17)</f>
        <v>5327555.8</v>
      </c>
      <c r="G17" s="81">
        <f t="shared" ref="G17" si="2">SUM(G18+G42+G52)</f>
        <v>0</v>
      </c>
      <c r="H17" s="81">
        <f>SUM(H18+H42+H52)</f>
        <v>5365825.8</v>
      </c>
      <c r="I17" s="81">
        <f>SUM(I18+I42+I52)</f>
        <v>-38270</v>
      </c>
      <c r="J17" s="73"/>
    </row>
    <row r="18" spans="1:10" s="21" customFormat="1" ht="33" x14ac:dyDescent="0.25">
      <c r="A18" s="7"/>
      <c r="B18" s="7"/>
      <c r="C18" s="7"/>
      <c r="D18" s="8"/>
      <c r="E18" s="26" t="s">
        <v>154</v>
      </c>
      <c r="F18" s="82">
        <f>SUM(G18:J18)</f>
        <v>3536300</v>
      </c>
      <c r="G18" s="82">
        <f t="shared" ref="G18:J18" si="3">SUM(G20+G28+G32+G34+G36+G39)</f>
        <v>0</v>
      </c>
      <c r="H18" s="82">
        <f>SUM(H20+H28+H32+H34+H36+H39)</f>
        <v>3560250</v>
      </c>
      <c r="I18" s="82">
        <f t="shared" si="3"/>
        <v>-23950</v>
      </c>
      <c r="J18" s="45">
        <f t="shared" si="3"/>
        <v>0</v>
      </c>
    </row>
    <row r="19" spans="1:10" s="21" customFormat="1" ht="16.5" x14ac:dyDescent="0.25">
      <c r="A19" s="7"/>
      <c r="B19" s="7"/>
      <c r="C19" s="7"/>
      <c r="D19" s="8"/>
      <c r="E19" s="22" t="s">
        <v>73</v>
      </c>
      <c r="F19" s="82"/>
      <c r="G19" s="82"/>
      <c r="H19" s="82"/>
      <c r="I19" s="82"/>
      <c r="J19" s="73"/>
    </row>
    <row r="20" spans="1:10" s="21" customFormat="1" ht="33" x14ac:dyDescent="0.25">
      <c r="A20" s="7"/>
      <c r="B20" s="7"/>
      <c r="C20" s="7"/>
      <c r="D20" s="7"/>
      <c r="E20" s="27" t="s">
        <v>18</v>
      </c>
      <c r="F20" s="43">
        <f>SUM(F21:F27)</f>
        <v>853088</v>
      </c>
      <c r="G20" s="43">
        <f t="shared" ref="G20" si="4">SUM(G21:G27)</f>
        <v>0</v>
      </c>
      <c r="H20" s="43">
        <f>SUM(H21:H27)</f>
        <v>854078</v>
      </c>
      <c r="I20" s="43">
        <f>SUM(I21:I27)</f>
        <v>-990</v>
      </c>
      <c r="J20" s="73"/>
    </row>
    <row r="21" spans="1:10" s="19" customFormat="1" ht="49.5" x14ac:dyDescent="0.25">
      <c r="A21" s="24"/>
      <c r="B21" s="24"/>
      <c r="C21" s="24"/>
      <c r="D21" s="24"/>
      <c r="E21" s="44" t="s">
        <v>20</v>
      </c>
      <c r="F21" s="48">
        <f>SUM(G21:I21)</f>
        <v>-1912</v>
      </c>
      <c r="G21" s="48"/>
      <c r="H21" s="48">
        <f>52360-54272</f>
        <v>-1912</v>
      </c>
      <c r="I21" s="48">
        <v>0</v>
      </c>
      <c r="J21" s="74"/>
    </row>
    <row r="22" spans="1:10" s="19" customFormat="1" ht="33" x14ac:dyDescent="0.25">
      <c r="A22" s="24"/>
      <c r="B22" s="24"/>
      <c r="C22" s="24"/>
      <c r="D22" s="24"/>
      <c r="E22" s="30" t="s">
        <v>19</v>
      </c>
      <c r="F22" s="48">
        <f>SUM(G22:I22)</f>
        <v>166400</v>
      </c>
      <c r="G22" s="48"/>
      <c r="H22" s="48">
        <v>166700</v>
      </c>
      <c r="I22" s="48">
        <f>3300-3600</f>
        <v>-300</v>
      </c>
      <c r="J22" s="74"/>
    </row>
    <row r="23" spans="1:10" s="19" customFormat="1" ht="33" x14ac:dyDescent="0.25">
      <c r="A23" s="24"/>
      <c r="B23" s="24"/>
      <c r="C23" s="24"/>
      <c r="D23" s="24"/>
      <c r="E23" s="30" t="s">
        <v>21</v>
      </c>
      <c r="F23" s="48">
        <f t="shared" ref="F23:F27" si="5">SUM(G23:I23)</f>
        <v>147210</v>
      </c>
      <c r="G23" s="48"/>
      <c r="H23" s="48">
        <v>147870</v>
      </c>
      <c r="I23" s="48">
        <f>5340-6000</f>
        <v>-660</v>
      </c>
      <c r="J23" s="74"/>
    </row>
    <row r="24" spans="1:10" s="19" customFormat="1" ht="33" x14ac:dyDescent="0.25">
      <c r="A24" s="24"/>
      <c r="B24" s="24"/>
      <c r="C24" s="24"/>
      <c r="D24" s="24"/>
      <c r="E24" s="30" t="s">
        <v>22</v>
      </c>
      <c r="F24" s="48">
        <f t="shared" si="5"/>
        <v>240950</v>
      </c>
      <c r="G24" s="48"/>
      <c r="H24" s="48">
        <v>241380</v>
      </c>
      <c r="I24" s="48">
        <f>3570-4000</f>
        <v>-430</v>
      </c>
      <c r="J24" s="74"/>
    </row>
    <row r="25" spans="1:10" s="21" customFormat="1" ht="33" x14ac:dyDescent="0.25">
      <c r="A25" s="7"/>
      <c r="B25" s="7"/>
      <c r="C25" s="7"/>
      <c r="D25" s="7"/>
      <c r="E25" s="36" t="s">
        <v>109</v>
      </c>
      <c r="F25" s="48">
        <f t="shared" si="5"/>
        <v>160280</v>
      </c>
      <c r="G25" s="43"/>
      <c r="H25" s="5">
        <v>159650</v>
      </c>
      <c r="I25" s="5">
        <v>630</v>
      </c>
      <c r="J25" s="73"/>
    </row>
    <row r="26" spans="1:10" s="21" customFormat="1" ht="33" x14ac:dyDescent="0.25">
      <c r="A26" s="7"/>
      <c r="B26" s="7"/>
      <c r="C26" s="7"/>
      <c r="D26" s="7"/>
      <c r="E26" s="35" t="s">
        <v>23</v>
      </c>
      <c r="F26" s="48">
        <f t="shared" si="5"/>
        <v>75260</v>
      </c>
      <c r="G26" s="43"/>
      <c r="H26" s="5">
        <v>75440</v>
      </c>
      <c r="I26" s="5">
        <f>2220-2400</f>
        <v>-180</v>
      </c>
      <c r="J26" s="73"/>
    </row>
    <row r="27" spans="1:10" s="19" customFormat="1" ht="49.5" x14ac:dyDescent="0.25">
      <c r="A27" s="24"/>
      <c r="B27" s="24"/>
      <c r="C27" s="24"/>
      <c r="D27" s="24"/>
      <c r="E27" s="29" t="s">
        <v>24</v>
      </c>
      <c r="F27" s="48">
        <f t="shared" si="5"/>
        <v>64900</v>
      </c>
      <c r="G27" s="48"/>
      <c r="H27" s="48">
        <v>64950</v>
      </c>
      <c r="I27" s="48">
        <f>630-680</f>
        <v>-50</v>
      </c>
      <c r="J27" s="74"/>
    </row>
    <row r="28" spans="1:10" s="21" customFormat="1" ht="33" x14ac:dyDescent="0.25">
      <c r="A28" s="7"/>
      <c r="B28" s="7"/>
      <c r="C28" s="7"/>
      <c r="D28" s="7"/>
      <c r="E28" s="27" t="s">
        <v>25</v>
      </c>
      <c r="F28" s="43">
        <f t="shared" ref="F28:I28" si="6">SUM(F29:F31)</f>
        <v>1193250</v>
      </c>
      <c r="G28" s="43">
        <f t="shared" si="6"/>
        <v>0</v>
      </c>
      <c r="H28" s="43">
        <f>SUM(H29:H31)</f>
        <v>1205170</v>
      </c>
      <c r="I28" s="43">
        <f t="shared" si="6"/>
        <v>-11920</v>
      </c>
      <c r="J28" s="73"/>
    </row>
    <row r="29" spans="1:10" s="19" customFormat="1" ht="33" x14ac:dyDescent="0.25">
      <c r="A29" s="24"/>
      <c r="B29" s="24"/>
      <c r="C29" s="24"/>
      <c r="D29" s="24"/>
      <c r="E29" s="35" t="s">
        <v>110</v>
      </c>
      <c r="F29" s="48">
        <f>SUM(G29:I29)</f>
        <v>864970</v>
      </c>
      <c r="G29" s="48"/>
      <c r="H29" s="48">
        <v>857170</v>
      </c>
      <c r="I29" s="48">
        <v>7800</v>
      </c>
      <c r="J29" s="74"/>
    </row>
    <row r="30" spans="1:10" s="19" customFormat="1" ht="49.5" x14ac:dyDescent="0.25">
      <c r="A30" s="24"/>
      <c r="B30" s="24"/>
      <c r="C30" s="24"/>
      <c r="D30" s="24"/>
      <c r="E30" s="36" t="s">
        <v>122</v>
      </c>
      <c r="F30" s="48">
        <f>SUM(G30:J30)</f>
        <v>348000</v>
      </c>
      <c r="G30" s="48"/>
      <c r="H30" s="48">
        <v>348000</v>
      </c>
      <c r="I30" s="48"/>
      <c r="J30" s="74"/>
    </row>
    <row r="31" spans="1:10" s="19" customFormat="1" ht="33" x14ac:dyDescent="0.25">
      <c r="A31" s="24"/>
      <c r="B31" s="24"/>
      <c r="C31" s="24"/>
      <c r="D31" s="24"/>
      <c r="E31" s="36" t="s">
        <v>74</v>
      </c>
      <c r="F31" s="48">
        <f>SUM(G31:J31)</f>
        <v>-19720</v>
      </c>
      <c r="G31" s="48"/>
      <c r="H31" s="48"/>
      <c r="I31" s="48">
        <v>-19720</v>
      </c>
      <c r="J31" s="74"/>
    </row>
    <row r="32" spans="1:10" s="21" customFormat="1" ht="33" x14ac:dyDescent="0.25">
      <c r="A32" s="7"/>
      <c r="B32" s="7"/>
      <c r="C32" s="7"/>
      <c r="D32" s="7"/>
      <c r="E32" s="27" t="s">
        <v>26</v>
      </c>
      <c r="F32" s="43">
        <f>F33</f>
        <v>-348</v>
      </c>
      <c r="G32" s="43">
        <f>G33</f>
        <v>0</v>
      </c>
      <c r="H32" s="43">
        <f>H33</f>
        <v>-348</v>
      </c>
      <c r="I32" s="43">
        <f>I33</f>
        <v>0</v>
      </c>
      <c r="J32" s="73"/>
    </row>
    <row r="33" spans="1:10" s="19" customFormat="1" ht="49.5" x14ac:dyDescent="0.25">
      <c r="A33" s="24"/>
      <c r="B33" s="24"/>
      <c r="C33" s="24"/>
      <c r="D33" s="24"/>
      <c r="E33" s="29" t="s">
        <v>27</v>
      </c>
      <c r="F33" s="48">
        <f>SUM(G33:I33)</f>
        <v>-348</v>
      </c>
      <c r="G33" s="48"/>
      <c r="H33" s="48">
        <f>18120-18468</f>
        <v>-348</v>
      </c>
      <c r="I33" s="48"/>
      <c r="J33" s="74"/>
    </row>
    <row r="34" spans="1:10" s="21" customFormat="1" ht="33" x14ac:dyDescent="0.25">
      <c r="A34" s="7"/>
      <c r="B34" s="7"/>
      <c r="C34" s="7"/>
      <c r="D34" s="7"/>
      <c r="E34" s="27" t="s">
        <v>28</v>
      </c>
      <c r="F34" s="43">
        <f>F35</f>
        <v>2690</v>
      </c>
      <c r="G34" s="43">
        <f>G35</f>
        <v>0</v>
      </c>
      <c r="H34" s="43">
        <f>H35</f>
        <v>2020</v>
      </c>
      <c r="I34" s="43">
        <f>I35</f>
        <v>670</v>
      </c>
      <c r="J34" s="73"/>
    </row>
    <row r="35" spans="1:10" s="19" customFormat="1" ht="16.5" x14ac:dyDescent="0.25">
      <c r="A35" s="24"/>
      <c r="B35" s="24"/>
      <c r="C35" s="24"/>
      <c r="D35" s="24"/>
      <c r="E35" s="30" t="s">
        <v>29</v>
      </c>
      <c r="F35" s="48">
        <f>SUM(G35:I35)</f>
        <v>2690</v>
      </c>
      <c r="G35" s="48"/>
      <c r="H35" s="48">
        <v>2020</v>
      </c>
      <c r="I35" s="48">
        <f>750-80</f>
        <v>670</v>
      </c>
      <c r="J35" s="74"/>
    </row>
    <row r="36" spans="1:10" s="21" customFormat="1" ht="33" x14ac:dyDescent="0.25">
      <c r="A36" s="7"/>
      <c r="B36" s="7"/>
      <c r="C36" s="7"/>
      <c r="D36" s="7"/>
      <c r="E36" s="27" t="s">
        <v>30</v>
      </c>
      <c r="F36" s="43">
        <f>SUM(F37:F38)</f>
        <v>28240</v>
      </c>
      <c r="G36" s="43">
        <f t="shared" ref="G36:I36" si="7">SUM(G37:G38)</f>
        <v>0</v>
      </c>
      <c r="H36" s="43">
        <f t="shared" si="7"/>
        <v>28330</v>
      </c>
      <c r="I36" s="43">
        <f t="shared" si="7"/>
        <v>-90</v>
      </c>
      <c r="J36" s="73"/>
    </row>
    <row r="37" spans="1:10" s="19" customFormat="1" ht="33" x14ac:dyDescent="0.25">
      <c r="A37" s="24"/>
      <c r="B37" s="24"/>
      <c r="C37" s="24"/>
      <c r="D37" s="24"/>
      <c r="E37" s="46" t="s">
        <v>75</v>
      </c>
      <c r="F37" s="48">
        <f>SUM(G37:I37)</f>
        <v>-600</v>
      </c>
      <c r="G37" s="48"/>
      <c r="H37" s="48">
        <v>0</v>
      </c>
      <c r="I37" s="48">
        <v>-600</v>
      </c>
      <c r="J37" s="74"/>
    </row>
    <row r="38" spans="1:10" s="19" customFormat="1" ht="33" x14ac:dyDescent="0.25">
      <c r="A38" s="24"/>
      <c r="B38" s="24"/>
      <c r="C38" s="24"/>
      <c r="D38" s="24"/>
      <c r="E38" s="46" t="s">
        <v>123</v>
      </c>
      <c r="F38" s="48">
        <f>SUM(G38:I38)</f>
        <v>28840</v>
      </c>
      <c r="G38" s="48"/>
      <c r="H38" s="48">
        <v>28330</v>
      </c>
      <c r="I38" s="48">
        <v>510</v>
      </c>
      <c r="J38" s="74"/>
    </row>
    <row r="39" spans="1:10" s="21" customFormat="1" ht="33" x14ac:dyDescent="0.25">
      <c r="A39" s="7"/>
      <c r="B39" s="7"/>
      <c r="C39" s="7"/>
      <c r="D39" s="7"/>
      <c r="E39" s="27" t="s">
        <v>76</v>
      </c>
      <c r="F39" s="43">
        <f>F40+F41</f>
        <v>1459380</v>
      </c>
      <c r="G39" s="43">
        <f t="shared" ref="G39:I39" si="8">G40+G41</f>
        <v>0</v>
      </c>
      <c r="H39" s="43">
        <f t="shared" si="8"/>
        <v>1471000</v>
      </c>
      <c r="I39" s="43">
        <f t="shared" si="8"/>
        <v>-11620</v>
      </c>
      <c r="J39" s="73"/>
    </row>
    <row r="40" spans="1:10" s="19" customFormat="1" ht="33" x14ac:dyDescent="0.25">
      <c r="A40" s="24"/>
      <c r="B40" s="24"/>
      <c r="C40" s="24"/>
      <c r="D40" s="24"/>
      <c r="E40" s="30" t="s">
        <v>31</v>
      </c>
      <c r="F40" s="48">
        <f>SUM(G40:I40)</f>
        <v>1449380</v>
      </c>
      <c r="G40" s="48"/>
      <c r="H40" s="48">
        <v>1471000</v>
      </c>
      <c r="I40" s="48">
        <f>14400-36020</f>
        <v>-21620</v>
      </c>
      <c r="J40" s="74"/>
    </row>
    <row r="41" spans="1:10" s="19" customFormat="1" ht="82.5" x14ac:dyDescent="0.25">
      <c r="A41" s="24"/>
      <c r="B41" s="24"/>
      <c r="C41" s="24"/>
      <c r="D41" s="24"/>
      <c r="E41" s="33" t="s">
        <v>114</v>
      </c>
      <c r="F41" s="48">
        <f>SUM(G41:I41)</f>
        <v>10000</v>
      </c>
      <c r="G41" s="48"/>
      <c r="H41" s="48">
        <v>0</v>
      </c>
      <c r="I41" s="48">
        <v>10000</v>
      </c>
      <c r="J41" s="74"/>
    </row>
    <row r="42" spans="1:10" s="10" customFormat="1" ht="33" x14ac:dyDescent="0.25">
      <c r="A42" s="31"/>
      <c r="B42" s="31"/>
      <c r="C42" s="31"/>
      <c r="D42" s="32"/>
      <c r="E42" s="26" t="s">
        <v>158</v>
      </c>
      <c r="F42" s="82">
        <f>SUM(F44+F46+F50+F48)</f>
        <v>189062</v>
      </c>
      <c r="G42" s="82">
        <f t="shared" ref="G42:I42" si="9">SUM(G44+G46+G50+G48)</f>
        <v>0</v>
      </c>
      <c r="H42" s="82">
        <f t="shared" si="9"/>
        <v>194202</v>
      </c>
      <c r="I42" s="82">
        <f t="shared" si="9"/>
        <v>-5140</v>
      </c>
      <c r="J42" s="72"/>
    </row>
    <row r="43" spans="1:10" s="21" customFormat="1" ht="16.5" x14ac:dyDescent="0.25">
      <c r="A43" s="7"/>
      <c r="B43" s="7"/>
      <c r="C43" s="7"/>
      <c r="D43" s="8"/>
      <c r="E43" s="22" t="s">
        <v>73</v>
      </c>
      <c r="F43" s="83"/>
      <c r="G43" s="83"/>
      <c r="H43" s="83"/>
      <c r="I43" s="83"/>
      <c r="J43" s="73"/>
    </row>
    <row r="44" spans="1:10" s="21" customFormat="1" ht="33" x14ac:dyDescent="0.25">
      <c r="A44" s="7"/>
      <c r="B44" s="7"/>
      <c r="C44" s="7"/>
      <c r="D44" s="7"/>
      <c r="E44" s="27" t="s">
        <v>32</v>
      </c>
      <c r="F44" s="43">
        <f>F45</f>
        <v>-54188</v>
      </c>
      <c r="G44" s="43">
        <f>G45</f>
        <v>0</v>
      </c>
      <c r="H44" s="43">
        <f>H45</f>
        <v>-54188</v>
      </c>
      <c r="I44" s="43">
        <f>I45</f>
        <v>0</v>
      </c>
      <c r="J44" s="73"/>
    </row>
    <row r="45" spans="1:10" s="19" customFormat="1" ht="33" x14ac:dyDescent="0.25">
      <c r="A45" s="24"/>
      <c r="B45" s="24"/>
      <c r="C45" s="24"/>
      <c r="D45" s="24"/>
      <c r="E45" s="33" t="s">
        <v>33</v>
      </c>
      <c r="F45" s="48">
        <f>SUM(G45:I45)</f>
        <v>-54188</v>
      </c>
      <c r="G45" s="48"/>
      <c r="H45" s="48">
        <f>209230-263418</f>
        <v>-54188</v>
      </c>
      <c r="I45" s="48"/>
      <c r="J45" s="74"/>
    </row>
    <row r="46" spans="1:10" s="21" customFormat="1" ht="16.5" x14ac:dyDescent="0.25">
      <c r="A46" s="7"/>
      <c r="B46" s="7"/>
      <c r="C46" s="7"/>
      <c r="D46" s="7"/>
      <c r="E46" s="27" t="s">
        <v>34</v>
      </c>
      <c r="F46" s="43">
        <f>F47</f>
        <v>208740</v>
      </c>
      <c r="G46" s="43">
        <f>G47</f>
        <v>0</v>
      </c>
      <c r="H46" s="43">
        <f>H47</f>
        <v>209170</v>
      </c>
      <c r="I46" s="43">
        <f>I47</f>
        <v>-430</v>
      </c>
      <c r="J46" s="73"/>
    </row>
    <row r="47" spans="1:10" s="19" customFormat="1" ht="33" x14ac:dyDescent="0.25">
      <c r="A47" s="24"/>
      <c r="B47" s="24"/>
      <c r="C47" s="24"/>
      <c r="D47" s="24"/>
      <c r="E47" s="44" t="s">
        <v>35</v>
      </c>
      <c r="F47" s="48">
        <f>SUM(H47:I47)</f>
        <v>208740</v>
      </c>
      <c r="G47" s="48"/>
      <c r="H47" s="48">
        <v>209170</v>
      </c>
      <c r="I47" s="48">
        <f>3570-4000</f>
        <v>-430</v>
      </c>
      <c r="J47" s="74"/>
    </row>
    <row r="48" spans="1:10" s="19" customFormat="1" ht="33" x14ac:dyDescent="0.25">
      <c r="A48" s="24"/>
      <c r="B48" s="24"/>
      <c r="C48" s="24"/>
      <c r="D48" s="24"/>
      <c r="E48" s="27" t="s">
        <v>65</v>
      </c>
      <c r="F48" s="82">
        <f>SUM(F49)</f>
        <v>-4000</v>
      </c>
      <c r="G48" s="82">
        <f t="shared" ref="G48:J48" si="10">SUM(G49)</f>
        <v>0</v>
      </c>
      <c r="H48" s="82">
        <f t="shared" si="10"/>
        <v>0</v>
      </c>
      <c r="I48" s="82">
        <f t="shared" si="10"/>
        <v>-4000</v>
      </c>
      <c r="J48" s="82">
        <f t="shared" si="10"/>
        <v>0</v>
      </c>
    </row>
    <row r="49" spans="1:10" s="19" customFormat="1" ht="33" x14ac:dyDescent="0.25">
      <c r="A49" s="24"/>
      <c r="B49" s="24"/>
      <c r="C49" s="24"/>
      <c r="D49" s="24"/>
      <c r="E49" s="30" t="s">
        <v>77</v>
      </c>
      <c r="F49" s="48">
        <f>SUM(G49:J49)</f>
        <v>-4000</v>
      </c>
      <c r="G49" s="48"/>
      <c r="H49" s="48">
        <v>0</v>
      </c>
      <c r="I49" s="48">
        <v>-4000</v>
      </c>
      <c r="J49" s="74"/>
    </row>
    <row r="50" spans="1:10" s="21" customFormat="1" ht="49.5" x14ac:dyDescent="0.25">
      <c r="A50" s="7"/>
      <c r="B50" s="7"/>
      <c r="C50" s="7"/>
      <c r="D50" s="7"/>
      <c r="E50" s="27" t="s">
        <v>36</v>
      </c>
      <c r="F50" s="43">
        <f>F51</f>
        <v>38510</v>
      </c>
      <c r="G50" s="43">
        <f>G51</f>
        <v>0</v>
      </c>
      <c r="H50" s="43">
        <f>H51</f>
        <v>39220</v>
      </c>
      <c r="I50" s="43">
        <f>I51</f>
        <v>-710</v>
      </c>
      <c r="J50" s="73"/>
    </row>
    <row r="51" spans="1:10" s="19" customFormat="1" ht="33" x14ac:dyDescent="0.25">
      <c r="A51" s="24"/>
      <c r="B51" s="24"/>
      <c r="C51" s="24"/>
      <c r="D51" s="24"/>
      <c r="E51" s="44" t="s">
        <v>37</v>
      </c>
      <c r="F51" s="48">
        <f>SUM(G51:I51)</f>
        <v>38510</v>
      </c>
      <c r="G51" s="48"/>
      <c r="H51" s="48">
        <v>39220</v>
      </c>
      <c r="I51" s="48">
        <f>250-960</f>
        <v>-710</v>
      </c>
      <c r="J51" s="74"/>
    </row>
    <row r="52" spans="1:10" s="10" customFormat="1" ht="33" x14ac:dyDescent="0.25">
      <c r="A52" s="31"/>
      <c r="B52" s="31"/>
      <c r="C52" s="31"/>
      <c r="D52" s="32"/>
      <c r="E52" s="47" t="s">
        <v>159</v>
      </c>
      <c r="F52" s="82">
        <f>SUM(F54+F56+F57+F58+F59+F60+F61+F62+F63+F64+F65+F66+F67+F68)</f>
        <v>1602193.8</v>
      </c>
      <c r="G52" s="82">
        <f t="shared" ref="G52:I52" si="11">SUM(G54+G56+G57+G58+G59+G60+G61+G62+G63+G64+G65+G66+G67+G68)</f>
        <v>0</v>
      </c>
      <c r="H52" s="82">
        <f t="shared" si="11"/>
        <v>1611373.8</v>
      </c>
      <c r="I52" s="82">
        <f t="shared" si="11"/>
        <v>-9180</v>
      </c>
      <c r="J52" s="72"/>
    </row>
    <row r="53" spans="1:10" s="10" customFormat="1" ht="16.5" x14ac:dyDescent="0.25">
      <c r="A53" s="8"/>
      <c r="B53" s="8"/>
      <c r="C53" s="8"/>
      <c r="D53" s="24"/>
      <c r="E53" s="22" t="s">
        <v>73</v>
      </c>
      <c r="F53" s="83"/>
      <c r="G53" s="83"/>
      <c r="H53" s="83"/>
      <c r="I53" s="83"/>
      <c r="J53" s="72"/>
    </row>
    <row r="54" spans="1:10" s="21" customFormat="1" ht="16.5" x14ac:dyDescent="0.25">
      <c r="A54" s="7"/>
      <c r="B54" s="7"/>
      <c r="C54" s="7"/>
      <c r="D54" s="7"/>
      <c r="E54" s="27" t="s">
        <v>38</v>
      </c>
      <c r="F54" s="43">
        <f>SUM(F55:F55)</f>
        <v>8770.8000000000029</v>
      </c>
      <c r="G54" s="43">
        <f>SUM(G55:G55)</f>
        <v>0</v>
      </c>
      <c r="H54" s="43">
        <f>SUM(H55:H55)</f>
        <v>8770.8000000000029</v>
      </c>
      <c r="I54" s="43">
        <f>SUM(I55:I55)</f>
        <v>0</v>
      </c>
      <c r="J54" s="73"/>
    </row>
    <row r="55" spans="1:10" s="19" customFormat="1" ht="49.5" x14ac:dyDescent="0.25">
      <c r="A55" s="24"/>
      <c r="B55" s="24"/>
      <c r="C55" s="24"/>
      <c r="D55" s="24"/>
      <c r="E55" s="44" t="s">
        <v>39</v>
      </c>
      <c r="F55" s="48">
        <f t="shared" ref="F55:F68" si="12">SUM(G55:I55)</f>
        <v>8770.8000000000029</v>
      </c>
      <c r="G55" s="48"/>
      <c r="H55" s="48">
        <f>65130-56359.2</f>
        <v>8770.8000000000029</v>
      </c>
      <c r="I55" s="48"/>
      <c r="J55" s="74"/>
    </row>
    <row r="56" spans="1:10" s="21" customFormat="1" ht="49.5" x14ac:dyDescent="0.25">
      <c r="A56" s="7"/>
      <c r="B56" s="7"/>
      <c r="C56" s="7"/>
      <c r="D56" s="7"/>
      <c r="E56" s="42" t="s">
        <v>78</v>
      </c>
      <c r="F56" s="43">
        <f t="shared" si="12"/>
        <v>12630</v>
      </c>
      <c r="G56" s="43"/>
      <c r="H56" s="43">
        <v>12630</v>
      </c>
      <c r="I56" s="43">
        <v>0</v>
      </c>
      <c r="J56" s="73"/>
    </row>
    <row r="57" spans="1:10" s="21" customFormat="1" ht="66" x14ac:dyDescent="0.25">
      <c r="A57" s="7"/>
      <c r="B57" s="7"/>
      <c r="C57" s="7"/>
      <c r="D57" s="7"/>
      <c r="E57" s="42" t="s">
        <v>79</v>
      </c>
      <c r="F57" s="84">
        <f t="shared" si="12"/>
        <v>79500</v>
      </c>
      <c r="G57" s="43"/>
      <c r="H57" s="43">
        <v>79900</v>
      </c>
      <c r="I57" s="43">
        <f>1200-1600</f>
        <v>-400</v>
      </c>
      <c r="J57" s="73"/>
    </row>
    <row r="58" spans="1:10" s="21" customFormat="1" ht="49.5" x14ac:dyDescent="0.25">
      <c r="A58" s="7"/>
      <c r="B58" s="7"/>
      <c r="C58" s="7"/>
      <c r="D58" s="7"/>
      <c r="E58" s="27" t="s">
        <v>40</v>
      </c>
      <c r="F58" s="43">
        <f t="shared" si="12"/>
        <v>29880</v>
      </c>
      <c r="G58" s="43"/>
      <c r="H58" s="43">
        <v>29970</v>
      </c>
      <c r="I58" s="43">
        <f>510-600</f>
        <v>-90</v>
      </c>
      <c r="J58" s="73"/>
    </row>
    <row r="59" spans="1:10" s="21" customFormat="1" ht="49.5" x14ac:dyDescent="0.25">
      <c r="A59" s="7"/>
      <c r="B59" s="7"/>
      <c r="C59" s="7"/>
      <c r="D59" s="7"/>
      <c r="E59" s="27" t="s">
        <v>41</v>
      </c>
      <c r="F59" s="43">
        <f t="shared" si="12"/>
        <v>9300</v>
      </c>
      <c r="G59" s="43"/>
      <c r="H59" s="43">
        <v>9300</v>
      </c>
      <c r="I59" s="43">
        <v>0</v>
      </c>
      <c r="J59" s="73"/>
    </row>
    <row r="60" spans="1:10" s="21" customFormat="1" ht="33" x14ac:dyDescent="0.25">
      <c r="A60" s="7"/>
      <c r="B60" s="7"/>
      <c r="C60" s="7"/>
      <c r="D60" s="7"/>
      <c r="E60" s="27" t="s">
        <v>42</v>
      </c>
      <c r="F60" s="43">
        <f t="shared" si="12"/>
        <v>104840</v>
      </c>
      <c r="G60" s="43"/>
      <c r="H60" s="43">
        <v>104960</v>
      </c>
      <c r="I60" s="43">
        <f>1980-2100</f>
        <v>-120</v>
      </c>
      <c r="J60" s="73"/>
    </row>
    <row r="61" spans="1:10" s="21" customFormat="1" ht="49.5" x14ac:dyDescent="0.25">
      <c r="A61" s="7"/>
      <c r="B61" s="7"/>
      <c r="C61" s="7"/>
      <c r="D61" s="7"/>
      <c r="E61" s="27" t="s">
        <v>43</v>
      </c>
      <c r="F61" s="43">
        <f t="shared" si="12"/>
        <v>198030</v>
      </c>
      <c r="G61" s="43"/>
      <c r="H61" s="43">
        <v>200740</v>
      </c>
      <c r="I61" s="43">
        <f>990-3700</f>
        <v>-2710</v>
      </c>
      <c r="J61" s="73"/>
    </row>
    <row r="62" spans="1:10" s="21" customFormat="1" ht="49.5" x14ac:dyDescent="0.25">
      <c r="A62" s="7"/>
      <c r="B62" s="7"/>
      <c r="C62" s="7"/>
      <c r="D62" s="7"/>
      <c r="E62" s="27" t="s">
        <v>44</v>
      </c>
      <c r="F62" s="43">
        <f t="shared" si="12"/>
        <v>175090</v>
      </c>
      <c r="G62" s="43"/>
      <c r="H62" s="43">
        <v>177910</v>
      </c>
      <c r="I62" s="43">
        <f>1100-3920</f>
        <v>-2820</v>
      </c>
      <c r="J62" s="73"/>
    </row>
    <row r="63" spans="1:10" s="21" customFormat="1" ht="49.5" x14ac:dyDescent="0.25">
      <c r="A63" s="7"/>
      <c r="B63" s="7"/>
      <c r="C63" s="7"/>
      <c r="D63" s="7"/>
      <c r="E63" s="27" t="s">
        <v>45</v>
      </c>
      <c r="F63" s="43">
        <f t="shared" si="12"/>
        <v>293110</v>
      </c>
      <c r="G63" s="43"/>
      <c r="H63" s="43">
        <v>297370</v>
      </c>
      <c r="I63" s="43">
        <f>1700-5960</f>
        <v>-4260</v>
      </c>
      <c r="J63" s="73"/>
    </row>
    <row r="64" spans="1:10" s="21" customFormat="1" ht="49.5" x14ac:dyDescent="0.25">
      <c r="A64" s="7"/>
      <c r="B64" s="7"/>
      <c r="C64" s="7"/>
      <c r="D64" s="7"/>
      <c r="E64" s="27" t="s">
        <v>46</v>
      </c>
      <c r="F64" s="43">
        <f t="shared" si="12"/>
        <v>35050</v>
      </c>
      <c r="G64" s="43"/>
      <c r="H64" s="43">
        <v>35100</v>
      </c>
      <c r="I64" s="43">
        <f>570-620</f>
        <v>-50</v>
      </c>
      <c r="J64" s="73"/>
    </row>
    <row r="65" spans="1:10" s="21" customFormat="1" ht="33" x14ac:dyDescent="0.25">
      <c r="A65" s="7"/>
      <c r="B65" s="7"/>
      <c r="C65" s="7"/>
      <c r="D65" s="7"/>
      <c r="E65" s="27" t="s">
        <v>47</v>
      </c>
      <c r="F65" s="43">
        <f t="shared" si="12"/>
        <v>224730</v>
      </c>
      <c r="G65" s="43"/>
      <c r="H65" s="43">
        <v>225190</v>
      </c>
      <c r="I65" s="43">
        <f>4140-4600</f>
        <v>-460</v>
      </c>
      <c r="J65" s="73"/>
    </row>
    <row r="66" spans="1:10" s="21" customFormat="1" ht="66" x14ac:dyDescent="0.25">
      <c r="A66" s="7"/>
      <c r="B66" s="7"/>
      <c r="C66" s="7"/>
      <c r="D66" s="7"/>
      <c r="E66" s="27" t="s">
        <v>119</v>
      </c>
      <c r="F66" s="43">
        <f t="shared" si="12"/>
        <v>90900</v>
      </c>
      <c r="G66" s="43"/>
      <c r="H66" s="43">
        <v>90000</v>
      </c>
      <c r="I66" s="43">
        <v>900</v>
      </c>
      <c r="J66" s="73"/>
    </row>
    <row r="67" spans="1:10" s="21" customFormat="1" ht="49.5" x14ac:dyDescent="0.25">
      <c r="A67" s="7"/>
      <c r="B67" s="7"/>
      <c r="C67" s="7"/>
      <c r="D67" s="7"/>
      <c r="E67" s="27" t="s">
        <v>120</v>
      </c>
      <c r="F67" s="43">
        <f t="shared" si="12"/>
        <v>218800</v>
      </c>
      <c r="G67" s="43"/>
      <c r="H67" s="43">
        <v>218800</v>
      </c>
      <c r="I67" s="43">
        <v>0</v>
      </c>
      <c r="J67" s="73"/>
    </row>
    <row r="68" spans="1:10" s="21" customFormat="1" ht="33" x14ac:dyDescent="0.25">
      <c r="A68" s="7"/>
      <c r="B68" s="7"/>
      <c r="C68" s="7"/>
      <c r="D68" s="7"/>
      <c r="E68" s="27" t="s">
        <v>121</v>
      </c>
      <c r="F68" s="43">
        <f t="shared" si="12"/>
        <v>121563</v>
      </c>
      <c r="G68" s="43"/>
      <c r="H68" s="43">
        <f>151280-547-30000</f>
        <v>120733</v>
      </c>
      <c r="I68" s="43">
        <v>830</v>
      </c>
      <c r="J68" s="73"/>
    </row>
    <row r="69" spans="1:10" s="58" customFormat="1" ht="33" x14ac:dyDescent="0.25">
      <c r="A69" s="57"/>
      <c r="B69" s="57"/>
      <c r="C69" s="57"/>
      <c r="D69" s="57"/>
      <c r="E69" s="42" t="s">
        <v>124</v>
      </c>
      <c r="F69" s="43">
        <f>SUM(F70+F88+F95)</f>
        <v>58957</v>
      </c>
      <c r="G69" s="43">
        <f t="shared" ref="G69:J69" si="13">SUM(G70+G88+G95)</f>
        <v>0</v>
      </c>
      <c r="H69" s="43">
        <f t="shared" si="13"/>
        <v>58957</v>
      </c>
      <c r="I69" s="43">
        <f t="shared" si="13"/>
        <v>0</v>
      </c>
      <c r="J69" s="43">
        <f t="shared" si="13"/>
        <v>0</v>
      </c>
    </row>
    <row r="70" spans="1:10" s="21" customFormat="1" ht="33" x14ac:dyDescent="0.25">
      <c r="A70" s="7"/>
      <c r="B70" s="7"/>
      <c r="C70" s="7"/>
      <c r="D70" s="7"/>
      <c r="E70" s="38" t="s">
        <v>108</v>
      </c>
      <c r="F70" s="43">
        <f>SUM(F71+F79+F82+F84+F86)</f>
        <v>38957</v>
      </c>
      <c r="G70" s="43">
        <f t="shared" ref="G70:J70" si="14">SUM(G71+G79+G82+G84+G86)</f>
        <v>0</v>
      </c>
      <c r="H70" s="43">
        <f t="shared" si="14"/>
        <v>38957</v>
      </c>
      <c r="I70" s="43">
        <f t="shared" si="14"/>
        <v>0</v>
      </c>
      <c r="J70" s="28">
        <f t="shared" si="14"/>
        <v>0</v>
      </c>
    </row>
    <row r="71" spans="1:10" s="21" customFormat="1" ht="33" x14ac:dyDescent="0.25">
      <c r="A71" s="7"/>
      <c r="B71" s="7"/>
      <c r="C71" s="7"/>
      <c r="D71" s="7"/>
      <c r="E71" s="34" t="s">
        <v>18</v>
      </c>
      <c r="F71" s="43">
        <f>SUM(F72:F78)</f>
        <v>11607</v>
      </c>
      <c r="G71" s="43">
        <f t="shared" ref="G71:J71" si="15">SUM(G72:G78)</f>
        <v>0</v>
      </c>
      <c r="H71" s="43">
        <f>SUM(H72:H78)</f>
        <v>11607</v>
      </c>
      <c r="I71" s="43">
        <f t="shared" si="15"/>
        <v>0</v>
      </c>
      <c r="J71" s="28">
        <f t="shared" si="15"/>
        <v>0</v>
      </c>
    </row>
    <row r="72" spans="1:10" s="21" customFormat="1" ht="33" x14ac:dyDescent="0.25">
      <c r="A72" s="7"/>
      <c r="B72" s="7"/>
      <c r="C72" s="7"/>
      <c r="D72" s="7"/>
      <c r="E72" s="35" t="s">
        <v>19</v>
      </c>
      <c r="F72" s="5">
        <f>SUM(G72:I72)</f>
        <v>1667</v>
      </c>
      <c r="G72" s="43"/>
      <c r="H72" s="5">
        <v>1667</v>
      </c>
      <c r="I72" s="43"/>
      <c r="J72" s="73"/>
    </row>
    <row r="73" spans="1:10" s="21" customFormat="1" ht="49.5" x14ac:dyDescent="0.25">
      <c r="A73" s="7"/>
      <c r="B73" s="7"/>
      <c r="C73" s="7"/>
      <c r="D73" s="7"/>
      <c r="E73" s="35" t="s">
        <v>20</v>
      </c>
      <c r="F73" s="5">
        <f t="shared" ref="F73:F78" si="16">SUM(G73:I73)</f>
        <v>70</v>
      </c>
      <c r="G73" s="43"/>
      <c r="H73" s="5">
        <v>70</v>
      </c>
      <c r="I73" s="43"/>
      <c r="J73" s="73"/>
    </row>
    <row r="74" spans="1:10" s="21" customFormat="1" ht="33" x14ac:dyDescent="0.25">
      <c r="A74" s="7"/>
      <c r="B74" s="7"/>
      <c r="C74" s="7"/>
      <c r="D74" s="7"/>
      <c r="E74" s="36" t="s">
        <v>21</v>
      </c>
      <c r="F74" s="5">
        <f t="shared" si="16"/>
        <v>4500</v>
      </c>
      <c r="G74" s="43"/>
      <c r="H74" s="5">
        <v>4500</v>
      </c>
      <c r="I74" s="43"/>
      <c r="J74" s="73"/>
    </row>
    <row r="75" spans="1:10" s="21" customFormat="1" ht="33" x14ac:dyDescent="0.25">
      <c r="A75" s="7"/>
      <c r="B75" s="7"/>
      <c r="C75" s="7"/>
      <c r="D75" s="7"/>
      <c r="E75" s="35" t="s">
        <v>22</v>
      </c>
      <c r="F75" s="5">
        <f t="shared" si="16"/>
        <v>2640</v>
      </c>
      <c r="G75" s="43"/>
      <c r="H75" s="5">
        <v>2640</v>
      </c>
      <c r="I75" s="43"/>
      <c r="J75" s="73"/>
    </row>
    <row r="76" spans="1:10" s="21" customFormat="1" ht="33" x14ac:dyDescent="0.25">
      <c r="A76" s="7"/>
      <c r="B76" s="7"/>
      <c r="C76" s="7"/>
      <c r="D76" s="7"/>
      <c r="E76" s="36" t="s">
        <v>109</v>
      </c>
      <c r="F76" s="5">
        <f t="shared" si="16"/>
        <v>1330</v>
      </c>
      <c r="G76" s="43"/>
      <c r="H76" s="5">
        <v>1330</v>
      </c>
      <c r="I76" s="43"/>
      <c r="J76" s="73"/>
    </row>
    <row r="77" spans="1:10" s="21" customFormat="1" ht="33" x14ac:dyDescent="0.25">
      <c r="A77" s="7"/>
      <c r="B77" s="7"/>
      <c r="C77" s="7"/>
      <c r="D77" s="7"/>
      <c r="E77" s="35" t="s">
        <v>23</v>
      </c>
      <c r="F77" s="5">
        <f t="shared" si="16"/>
        <v>750</v>
      </c>
      <c r="G77" s="43"/>
      <c r="H77" s="5">
        <v>750</v>
      </c>
      <c r="I77" s="43"/>
      <c r="J77" s="73"/>
    </row>
    <row r="78" spans="1:10" s="21" customFormat="1" ht="49.5" x14ac:dyDescent="0.25">
      <c r="A78" s="7"/>
      <c r="B78" s="7"/>
      <c r="C78" s="7"/>
      <c r="D78" s="7"/>
      <c r="E78" s="35" t="s">
        <v>24</v>
      </c>
      <c r="F78" s="5">
        <f t="shared" si="16"/>
        <v>650</v>
      </c>
      <c r="G78" s="43"/>
      <c r="H78" s="5">
        <v>650</v>
      </c>
      <c r="I78" s="43"/>
      <c r="J78" s="73"/>
    </row>
    <row r="79" spans="1:10" s="21" customFormat="1" ht="33" x14ac:dyDescent="0.25">
      <c r="A79" s="7"/>
      <c r="B79" s="7"/>
      <c r="C79" s="7"/>
      <c r="D79" s="7"/>
      <c r="E79" s="37" t="s">
        <v>25</v>
      </c>
      <c r="F79" s="43">
        <f>SUM(F80:F81)</f>
        <v>12050</v>
      </c>
      <c r="G79" s="43">
        <f t="shared" ref="G79:J79" si="17">SUM(G80:G81)</f>
        <v>0</v>
      </c>
      <c r="H79" s="43">
        <f t="shared" si="17"/>
        <v>12050</v>
      </c>
      <c r="I79" s="43">
        <f t="shared" si="17"/>
        <v>0</v>
      </c>
      <c r="J79" s="28">
        <f t="shared" si="17"/>
        <v>0</v>
      </c>
    </row>
    <row r="80" spans="1:10" s="21" customFormat="1" ht="33" x14ac:dyDescent="0.25">
      <c r="A80" s="7"/>
      <c r="B80" s="7"/>
      <c r="C80" s="7"/>
      <c r="D80" s="7"/>
      <c r="E80" s="35" t="s">
        <v>110</v>
      </c>
      <c r="F80" s="5">
        <f>SUM(G80:I80)</f>
        <v>8570</v>
      </c>
      <c r="G80" s="43"/>
      <c r="H80" s="5">
        <v>8570</v>
      </c>
      <c r="I80" s="43"/>
      <c r="J80" s="73"/>
    </row>
    <row r="81" spans="1:10" s="21" customFormat="1" ht="49.5" x14ac:dyDescent="0.25">
      <c r="A81" s="7"/>
      <c r="B81" s="7"/>
      <c r="C81" s="7"/>
      <c r="D81" s="7"/>
      <c r="E81" s="35" t="s">
        <v>111</v>
      </c>
      <c r="F81" s="5">
        <f>SUM(G81:I81)</f>
        <v>3480</v>
      </c>
      <c r="G81" s="43"/>
      <c r="H81" s="5">
        <v>3480</v>
      </c>
      <c r="I81" s="43"/>
      <c r="J81" s="73"/>
    </row>
    <row r="82" spans="1:10" s="21" customFormat="1" ht="33" x14ac:dyDescent="0.25">
      <c r="A82" s="7"/>
      <c r="B82" s="7"/>
      <c r="C82" s="7"/>
      <c r="D82" s="7"/>
      <c r="E82" s="34" t="s">
        <v>28</v>
      </c>
      <c r="F82" s="43">
        <f>SUM(F83)</f>
        <v>20</v>
      </c>
      <c r="G82" s="43">
        <f t="shared" ref="G82:J82" si="18">SUM(G83)</f>
        <v>0</v>
      </c>
      <c r="H82" s="43">
        <f t="shared" si="18"/>
        <v>20</v>
      </c>
      <c r="I82" s="43">
        <f t="shared" si="18"/>
        <v>0</v>
      </c>
      <c r="J82" s="28">
        <f t="shared" si="18"/>
        <v>0</v>
      </c>
    </row>
    <row r="83" spans="1:10" s="21" customFormat="1" ht="16.5" x14ac:dyDescent="0.25">
      <c r="A83" s="7"/>
      <c r="B83" s="7"/>
      <c r="C83" s="7"/>
      <c r="D83" s="7"/>
      <c r="E83" s="35" t="s">
        <v>29</v>
      </c>
      <c r="F83" s="5">
        <f>SUM(G83:I83)</f>
        <v>20</v>
      </c>
      <c r="G83" s="5"/>
      <c r="H83" s="5">
        <v>20</v>
      </c>
      <c r="I83" s="5"/>
      <c r="J83" s="73"/>
    </row>
    <row r="84" spans="1:10" s="21" customFormat="1" ht="33" x14ac:dyDescent="0.25">
      <c r="A84" s="7"/>
      <c r="B84" s="7"/>
      <c r="C84" s="7"/>
      <c r="D84" s="7"/>
      <c r="E84" s="34" t="s">
        <v>30</v>
      </c>
      <c r="F84" s="43">
        <f>SUM(F85)</f>
        <v>280</v>
      </c>
      <c r="G84" s="43">
        <f t="shared" ref="G84:J84" si="19">SUM(G85)</f>
        <v>0</v>
      </c>
      <c r="H84" s="43">
        <v>280</v>
      </c>
      <c r="I84" s="43">
        <f t="shared" si="19"/>
        <v>0</v>
      </c>
      <c r="J84" s="28">
        <f t="shared" si="19"/>
        <v>0</v>
      </c>
    </row>
    <row r="85" spans="1:10" s="21" customFormat="1" ht="33" x14ac:dyDescent="0.25">
      <c r="A85" s="7"/>
      <c r="B85" s="7"/>
      <c r="C85" s="7"/>
      <c r="D85" s="7"/>
      <c r="E85" s="35" t="s">
        <v>112</v>
      </c>
      <c r="F85" s="5">
        <f>SUM(G85:I85)</f>
        <v>280</v>
      </c>
      <c r="G85" s="43"/>
      <c r="H85" s="5">
        <v>280</v>
      </c>
      <c r="I85" s="43"/>
      <c r="J85" s="73"/>
    </row>
    <row r="86" spans="1:10" s="21" customFormat="1" ht="16.5" x14ac:dyDescent="0.25">
      <c r="A86" s="7"/>
      <c r="B86" s="7"/>
      <c r="C86" s="7"/>
      <c r="D86" s="7"/>
      <c r="E86" s="37" t="s">
        <v>113</v>
      </c>
      <c r="F86" s="43">
        <f>SUM(F87:F87)</f>
        <v>15000</v>
      </c>
      <c r="G86" s="43">
        <f>SUM(G87:G87)</f>
        <v>0</v>
      </c>
      <c r="H86" s="43">
        <f t="shared" ref="H86:J86" si="20">SUM(H87:H87)</f>
        <v>15000</v>
      </c>
      <c r="I86" s="43">
        <f t="shared" si="20"/>
        <v>0</v>
      </c>
      <c r="J86" s="28">
        <f t="shared" si="20"/>
        <v>0</v>
      </c>
    </row>
    <row r="87" spans="1:10" s="21" customFormat="1" ht="33" x14ac:dyDescent="0.25">
      <c r="A87" s="7"/>
      <c r="B87" s="7"/>
      <c r="C87" s="7"/>
      <c r="D87" s="7"/>
      <c r="E87" s="36" t="s">
        <v>31</v>
      </c>
      <c r="F87" s="5">
        <f>SUM(G87:I87)</f>
        <v>15000</v>
      </c>
      <c r="G87" s="43"/>
      <c r="H87" s="5">
        <v>15000</v>
      </c>
      <c r="I87" s="43"/>
      <c r="J87" s="73"/>
    </row>
    <row r="88" spans="1:10" s="21" customFormat="1" ht="33" x14ac:dyDescent="0.25">
      <c r="A88" s="7"/>
      <c r="B88" s="7"/>
      <c r="C88" s="7"/>
      <c r="D88" s="7"/>
      <c r="E88" s="38" t="s">
        <v>115</v>
      </c>
      <c r="F88" s="43">
        <f>SUM(F89+F91+F93)</f>
        <v>2560</v>
      </c>
      <c r="G88" s="43">
        <f t="shared" ref="G88:J88" si="21">SUM(G89+G91+G93)</f>
        <v>0</v>
      </c>
      <c r="H88" s="43">
        <f t="shared" si="21"/>
        <v>2560</v>
      </c>
      <c r="I88" s="43">
        <f t="shared" si="21"/>
        <v>0</v>
      </c>
      <c r="J88" s="28">
        <f t="shared" si="21"/>
        <v>0</v>
      </c>
    </row>
    <row r="89" spans="1:10" s="21" customFormat="1" ht="33" x14ac:dyDescent="0.25">
      <c r="A89" s="7"/>
      <c r="B89" s="7"/>
      <c r="C89" s="7"/>
      <c r="D89" s="7"/>
      <c r="E89" s="34" t="s">
        <v>32</v>
      </c>
      <c r="F89" s="43">
        <f>SUM(F90)</f>
        <v>160</v>
      </c>
      <c r="G89" s="43">
        <f t="shared" ref="G89:J89" si="22">SUM(G90)</f>
        <v>0</v>
      </c>
      <c r="H89" s="43">
        <f t="shared" si="22"/>
        <v>160</v>
      </c>
      <c r="I89" s="43">
        <f t="shared" si="22"/>
        <v>0</v>
      </c>
      <c r="J89" s="28">
        <f t="shared" si="22"/>
        <v>0</v>
      </c>
    </row>
    <row r="90" spans="1:10" s="21" customFormat="1" ht="33" x14ac:dyDescent="0.25">
      <c r="A90" s="7"/>
      <c r="B90" s="7"/>
      <c r="C90" s="7"/>
      <c r="D90" s="7"/>
      <c r="E90" s="35" t="s">
        <v>33</v>
      </c>
      <c r="F90" s="5">
        <f>SUM(G90:I90)</f>
        <v>160</v>
      </c>
      <c r="G90" s="43"/>
      <c r="H90" s="5">
        <v>160</v>
      </c>
      <c r="I90" s="43"/>
      <c r="J90" s="73"/>
    </row>
    <row r="91" spans="1:10" s="21" customFormat="1" ht="16.5" x14ac:dyDescent="0.25">
      <c r="A91" s="7"/>
      <c r="B91" s="7"/>
      <c r="C91" s="7"/>
      <c r="D91" s="7"/>
      <c r="E91" s="34" t="s">
        <v>34</v>
      </c>
      <c r="F91" s="43">
        <f>SUM(F92)</f>
        <v>2090</v>
      </c>
      <c r="G91" s="43">
        <f t="shared" ref="G91:J91" si="23">SUM(G92)</f>
        <v>0</v>
      </c>
      <c r="H91" s="43">
        <f t="shared" si="23"/>
        <v>2090</v>
      </c>
      <c r="I91" s="43">
        <f t="shared" si="23"/>
        <v>0</v>
      </c>
      <c r="J91" s="28">
        <f t="shared" si="23"/>
        <v>0</v>
      </c>
    </row>
    <row r="92" spans="1:10" s="21" customFormat="1" ht="33" x14ac:dyDescent="0.25">
      <c r="A92" s="7"/>
      <c r="B92" s="7"/>
      <c r="C92" s="7"/>
      <c r="D92" s="7"/>
      <c r="E92" s="35" t="s">
        <v>35</v>
      </c>
      <c r="F92" s="5">
        <f>SUM(G92:I92)</f>
        <v>2090</v>
      </c>
      <c r="G92" s="43"/>
      <c r="H92" s="5">
        <v>2090</v>
      </c>
      <c r="I92" s="43"/>
      <c r="J92" s="73"/>
    </row>
    <row r="93" spans="1:10" s="21" customFormat="1" ht="49.5" x14ac:dyDescent="0.25">
      <c r="A93" s="7"/>
      <c r="B93" s="7"/>
      <c r="C93" s="7"/>
      <c r="D93" s="7"/>
      <c r="E93" s="34" t="s">
        <v>36</v>
      </c>
      <c r="F93" s="43">
        <f>SUM(F94)</f>
        <v>310</v>
      </c>
      <c r="G93" s="43">
        <f t="shared" ref="G93:J93" si="24">SUM(G94)</f>
        <v>0</v>
      </c>
      <c r="H93" s="43">
        <f t="shared" si="24"/>
        <v>310</v>
      </c>
      <c r="I93" s="43">
        <f t="shared" si="24"/>
        <v>0</v>
      </c>
      <c r="J93" s="28">
        <f t="shared" si="24"/>
        <v>0</v>
      </c>
    </row>
    <row r="94" spans="1:10" s="21" customFormat="1" ht="33" x14ac:dyDescent="0.25">
      <c r="A94" s="7"/>
      <c r="B94" s="7"/>
      <c r="C94" s="7"/>
      <c r="D94" s="7"/>
      <c r="E94" s="35" t="s">
        <v>37</v>
      </c>
      <c r="F94" s="5">
        <f>SUM(G94:I94)</f>
        <v>310</v>
      </c>
      <c r="G94" s="43"/>
      <c r="H94" s="5">
        <v>310</v>
      </c>
      <c r="I94" s="43"/>
      <c r="J94" s="73"/>
    </row>
    <row r="95" spans="1:10" s="21" customFormat="1" ht="33" x14ac:dyDescent="0.25">
      <c r="A95" s="7"/>
      <c r="B95" s="7"/>
      <c r="C95" s="7"/>
      <c r="D95" s="7"/>
      <c r="E95" s="38" t="s">
        <v>116</v>
      </c>
      <c r="F95" s="43">
        <f>SUM(F96+F98+F99+F100+F101+F102+F103+F104+F105+F106+F107+F108+F109+F110)</f>
        <v>17440</v>
      </c>
      <c r="G95" s="43">
        <f t="shared" ref="G95:J95" si="25">SUM(G96+G98+G99+G100+G101+G102+G103+G104+G105+G106+G107+G108+G109+G110)</f>
        <v>0</v>
      </c>
      <c r="H95" s="43">
        <f t="shared" si="25"/>
        <v>17440</v>
      </c>
      <c r="I95" s="43">
        <f t="shared" si="25"/>
        <v>0</v>
      </c>
      <c r="J95" s="28">
        <f t="shared" si="25"/>
        <v>0</v>
      </c>
    </row>
    <row r="96" spans="1:10" s="21" customFormat="1" ht="16.5" x14ac:dyDescent="0.25">
      <c r="A96" s="7"/>
      <c r="B96" s="7"/>
      <c r="C96" s="7"/>
      <c r="D96" s="7"/>
      <c r="E96" s="37" t="s">
        <v>38</v>
      </c>
      <c r="F96" s="43">
        <f>SUM(F97)</f>
        <v>100</v>
      </c>
      <c r="G96" s="43">
        <f t="shared" ref="G96:J96" si="26">SUM(G97)</f>
        <v>0</v>
      </c>
      <c r="H96" s="43">
        <f t="shared" si="26"/>
        <v>100</v>
      </c>
      <c r="I96" s="43">
        <f t="shared" si="26"/>
        <v>0</v>
      </c>
      <c r="J96" s="28">
        <f t="shared" si="26"/>
        <v>0</v>
      </c>
    </row>
    <row r="97" spans="1:10" s="21" customFormat="1" ht="49.5" x14ac:dyDescent="0.25">
      <c r="A97" s="7"/>
      <c r="B97" s="7"/>
      <c r="C97" s="7"/>
      <c r="D97" s="7"/>
      <c r="E97" s="36" t="s">
        <v>39</v>
      </c>
      <c r="F97" s="5">
        <f>SUM(G97:I97)</f>
        <v>100</v>
      </c>
      <c r="G97" s="43"/>
      <c r="H97" s="5">
        <v>100</v>
      </c>
      <c r="I97" s="43"/>
      <c r="J97" s="73"/>
    </row>
    <row r="98" spans="1:10" s="21" customFormat="1" ht="66" x14ac:dyDescent="0.25">
      <c r="A98" s="7"/>
      <c r="B98" s="7"/>
      <c r="C98" s="7"/>
      <c r="D98" s="7"/>
      <c r="E98" s="37" t="s">
        <v>117</v>
      </c>
      <c r="F98" s="43">
        <f>SUM(G98:I98)</f>
        <v>800</v>
      </c>
      <c r="G98" s="43"/>
      <c r="H98" s="43">
        <v>800</v>
      </c>
      <c r="I98" s="43"/>
      <c r="J98" s="73"/>
    </row>
    <row r="99" spans="1:10" s="21" customFormat="1" ht="49.5" x14ac:dyDescent="0.25">
      <c r="A99" s="7"/>
      <c r="B99" s="7"/>
      <c r="C99" s="7"/>
      <c r="D99" s="7"/>
      <c r="E99" s="37" t="s">
        <v>40</v>
      </c>
      <c r="F99" s="43">
        <f t="shared" ref="F99:F110" si="27">SUM(G99:I99)</f>
        <v>300</v>
      </c>
      <c r="G99" s="43"/>
      <c r="H99" s="43">
        <v>300</v>
      </c>
      <c r="I99" s="43"/>
      <c r="J99" s="73"/>
    </row>
    <row r="100" spans="1:10" s="21" customFormat="1" ht="49.5" x14ac:dyDescent="0.25">
      <c r="A100" s="7"/>
      <c r="B100" s="7"/>
      <c r="C100" s="7"/>
      <c r="D100" s="7"/>
      <c r="E100" s="37" t="s">
        <v>41</v>
      </c>
      <c r="F100" s="43">
        <f t="shared" si="27"/>
        <v>90</v>
      </c>
      <c r="G100" s="43"/>
      <c r="H100" s="43">
        <v>90</v>
      </c>
      <c r="I100" s="43"/>
      <c r="J100" s="73"/>
    </row>
    <row r="101" spans="1:10" s="21" customFormat="1" ht="33" x14ac:dyDescent="0.25">
      <c r="A101" s="7"/>
      <c r="B101" s="7"/>
      <c r="C101" s="7"/>
      <c r="D101" s="7"/>
      <c r="E101" s="37" t="s">
        <v>42</v>
      </c>
      <c r="F101" s="43">
        <f t="shared" si="27"/>
        <v>1180</v>
      </c>
      <c r="G101" s="43"/>
      <c r="H101" s="43">
        <v>1180</v>
      </c>
      <c r="I101" s="43"/>
      <c r="J101" s="73"/>
    </row>
    <row r="102" spans="1:10" s="21" customFormat="1" ht="49.5" x14ac:dyDescent="0.25">
      <c r="A102" s="7"/>
      <c r="B102" s="7"/>
      <c r="C102" s="7"/>
      <c r="D102" s="7"/>
      <c r="E102" s="37" t="s">
        <v>43</v>
      </c>
      <c r="F102" s="43">
        <f t="shared" si="27"/>
        <v>2010</v>
      </c>
      <c r="G102" s="43"/>
      <c r="H102" s="43">
        <v>2010</v>
      </c>
      <c r="I102" s="43"/>
      <c r="J102" s="73"/>
    </row>
    <row r="103" spans="1:10" s="21" customFormat="1" ht="49.5" x14ac:dyDescent="0.25">
      <c r="A103" s="7"/>
      <c r="B103" s="7"/>
      <c r="C103" s="7"/>
      <c r="D103" s="7"/>
      <c r="E103" s="37" t="s">
        <v>44</v>
      </c>
      <c r="F103" s="43">
        <f t="shared" si="27"/>
        <v>1780</v>
      </c>
      <c r="G103" s="43"/>
      <c r="H103" s="43">
        <v>1780</v>
      </c>
      <c r="I103" s="43"/>
      <c r="J103" s="73"/>
    </row>
    <row r="104" spans="1:10" s="21" customFormat="1" ht="49.5" x14ac:dyDescent="0.25">
      <c r="A104" s="7"/>
      <c r="B104" s="7"/>
      <c r="C104" s="7"/>
      <c r="D104" s="7"/>
      <c r="E104" s="37" t="s">
        <v>45</v>
      </c>
      <c r="F104" s="43">
        <f t="shared" si="27"/>
        <v>3000</v>
      </c>
      <c r="G104" s="43"/>
      <c r="H104" s="43">
        <v>3000</v>
      </c>
      <c r="I104" s="43"/>
      <c r="J104" s="73"/>
    </row>
    <row r="105" spans="1:10" s="21" customFormat="1" ht="49.5" x14ac:dyDescent="0.25">
      <c r="A105" s="7"/>
      <c r="B105" s="7"/>
      <c r="C105" s="7"/>
      <c r="D105" s="7"/>
      <c r="E105" s="37" t="s">
        <v>118</v>
      </c>
      <c r="F105" s="43">
        <f t="shared" si="27"/>
        <v>130</v>
      </c>
      <c r="G105" s="43"/>
      <c r="H105" s="43">
        <v>130</v>
      </c>
      <c r="I105" s="43"/>
      <c r="J105" s="73"/>
    </row>
    <row r="106" spans="1:10" s="21" customFormat="1" ht="49.5" x14ac:dyDescent="0.25">
      <c r="A106" s="7"/>
      <c r="B106" s="7"/>
      <c r="C106" s="7"/>
      <c r="D106" s="7"/>
      <c r="E106" s="37" t="s">
        <v>46</v>
      </c>
      <c r="F106" s="43">
        <f t="shared" si="27"/>
        <v>350</v>
      </c>
      <c r="G106" s="43"/>
      <c r="H106" s="43">
        <v>350</v>
      </c>
      <c r="I106" s="43"/>
      <c r="J106" s="73"/>
    </row>
    <row r="107" spans="1:10" s="21" customFormat="1" ht="33" x14ac:dyDescent="0.25">
      <c r="A107" s="7"/>
      <c r="B107" s="7"/>
      <c r="C107" s="7"/>
      <c r="D107" s="7"/>
      <c r="E107" s="37" t="s">
        <v>47</v>
      </c>
      <c r="F107" s="43">
        <f t="shared" si="27"/>
        <v>3610</v>
      </c>
      <c r="G107" s="43"/>
      <c r="H107" s="43">
        <v>3610</v>
      </c>
      <c r="I107" s="43"/>
      <c r="J107" s="73"/>
    </row>
    <row r="108" spans="1:10" s="21" customFormat="1" ht="66" x14ac:dyDescent="0.25">
      <c r="A108" s="7"/>
      <c r="B108" s="7"/>
      <c r="C108" s="7"/>
      <c r="D108" s="7"/>
      <c r="E108" s="37" t="s">
        <v>119</v>
      </c>
      <c r="F108" s="43">
        <f t="shared" si="27"/>
        <v>900</v>
      </c>
      <c r="G108" s="43"/>
      <c r="H108" s="43">
        <v>900</v>
      </c>
      <c r="I108" s="43"/>
      <c r="J108" s="73"/>
    </row>
    <row r="109" spans="1:10" s="21" customFormat="1" ht="49.5" x14ac:dyDescent="0.25">
      <c r="A109" s="7"/>
      <c r="B109" s="7"/>
      <c r="C109" s="7"/>
      <c r="D109" s="7"/>
      <c r="E109" s="37" t="s">
        <v>120</v>
      </c>
      <c r="F109" s="43">
        <f t="shared" si="27"/>
        <v>1690</v>
      </c>
      <c r="G109" s="43"/>
      <c r="H109" s="43">
        <v>1690</v>
      </c>
      <c r="I109" s="43"/>
      <c r="J109" s="73"/>
    </row>
    <row r="110" spans="1:10" s="21" customFormat="1" ht="33" x14ac:dyDescent="0.25">
      <c r="A110" s="7"/>
      <c r="B110" s="7"/>
      <c r="C110" s="7"/>
      <c r="D110" s="7"/>
      <c r="E110" s="37" t="s">
        <v>121</v>
      </c>
      <c r="F110" s="43">
        <f t="shared" si="27"/>
        <v>1500</v>
      </c>
      <c r="G110" s="43"/>
      <c r="H110" s="43">
        <v>1500</v>
      </c>
      <c r="I110" s="43"/>
      <c r="J110" s="73"/>
    </row>
    <row r="111" spans="1:10" s="39" customFormat="1" ht="33" x14ac:dyDescent="0.25">
      <c r="A111" s="41"/>
      <c r="B111" s="41"/>
      <c r="C111" s="41"/>
      <c r="D111" s="41"/>
      <c r="E111" s="42" t="s">
        <v>125</v>
      </c>
      <c r="F111" s="43">
        <f>SUM(F112+F132+F139)</f>
        <v>36930</v>
      </c>
      <c r="G111" s="43">
        <f t="shared" ref="G111:J111" si="28">SUM(G112+G132+G139)</f>
        <v>0</v>
      </c>
      <c r="H111" s="43">
        <f t="shared" si="28"/>
        <v>36930</v>
      </c>
      <c r="I111" s="43">
        <f t="shared" si="28"/>
        <v>0</v>
      </c>
      <c r="J111" s="43">
        <f t="shared" si="28"/>
        <v>0</v>
      </c>
    </row>
    <row r="112" spans="1:10" s="39" customFormat="1" ht="33" x14ac:dyDescent="0.25">
      <c r="A112" s="41"/>
      <c r="B112" s="41"/>
      <c r="C112" s="41"/>
      <c r="D112" s="41"/>
      <c r="E112" s="38" t="s">
        <v>108</v>
      </c>
      <c r="F112" s="43">
        <f>SUM(F113+F121+F124+F126+F128+F130)</f>
        <v>22490</v>
      </c>
      <c r="G112" s="43">
        <f t="shared" ref="G112:J112" si="29">SUM(G113+G121+G124+G126+G128+G130)</f>
        <v>0</v>
      </c>
      <c r="H112" s="43">
        <f t="shared" si="29"/>
        <v>22490</v>
      </c>
      <c r="I112" s="43">
        <f t="shared" si="29"/>
        <v>0</v>
      </c>
      <c r="J112" s="43">
        <f t="shared" si="29"/>
        <v>0</v>
      </c>
    </row>
    <row r="113" spans="1:10" s="39" customFormat="1" ht="33" x14ac:dyDescent="0.25">
      <c r="A113" s="41"/>
      <c r="B113" s="41"/>
      <c r="C113" s="41"/>
      <c r="D113" s="41"/>
      <c r="E113" s="37" t="s">
        <v>18</v>
      </c>
      <c r="F113" s="43">
        <f>SUM(F114:F120)</f>
        <v>5970</v>
      </c>
      <c r="G113" s="43">
        <f t="shared" ref="G113" si="30">SUM(G114:G120)</f>
        <v>0</v>
      </c>
      <c r="H113" s="43">
        <f t="shared" ref="H113" si="31">SUM(H114:H120)</f>
        <v>5970</v>
      </c>
      <c r="I113" s="43">
        <f t="shared" ref="I113" si="32">SUM(I114:I120)</f>
        <v>0</v>
      </c>
      <c r="J113" s="43">
        <f t="shared" ref="J113" si="33">SUM(J114:J120)</f>
        <v>0</v>
      </c>
    </row>
    <row r="114" spans="1:10" s="39" customFormat="1" ht="33" x14ac:dyDescent="0.25">
      <c r="A114" s="41"/>
      <c r="B114" s="41"/>
      <c r="C114" s="41"/>
      <c r="D114" s="41"/>
      <c r="E114" s="36" t="s">
        <v>19</v>
      </c>
      <c r="F114" s="5">
        <f>SUM(G114:I114)</f>
        <v>1010</v>
      </c>
      <c r="G114" s="43"/>
      <c r="H114" s="5">
        <v>1010</v>
      </c>
      <c r="I114" s="5"/>
      <c r="J114" s="75"/>
    </row>
    <row r="115" spans="1:10" s="39" customFormat="1" ht="49.5" x14ac:dyDescent="0.25">
      <c r="A115" s="41"/>
      <c r="B115" s="41"/>
      <c r="C115" s="41"/>
      <c r="D115" s="41"/>
      <c r="E115" s="36" t="s">
        <v>20</v>
      </c>
      <c r="F115" s="5">
        <f t="shared" ref="F115:F154" si="34">SUM(G115:I115)</f>
        <v>310</v>
      </c>
      <c r="G115" s="43"/>
      <c r="H115" s="5">
        <v>310</v>
      </c>
      <c r="I115" s="5"/>
      <c r="J115" s="75"/>
    </row>
    <row r="116" spans="1:10" s="39" customFormat="1" ht="33" x14ac:dyDescent="0.25">
      <c r="A116" s="41"/>
      <c r="B116" s="41"/>
      <c r="C116" s="41"/>
      <c r="D116" s="41"/>
      <c r="E116" s="36" t="s">
        <v>21</v>
      </c>
      <c r="F116" s="5">
        <f t="shared" si="34"/>
        <v>1260</v>
      </c>
      <c r="G116" s="43"/>
      <c r="H116" s="5">
        <v>1260</v>
      </c>
      <c r="I116" s="5"/>
      <c r="J116" s="75"/>
    </row>
    <row r="117" spans="1:10" s="39" customFormat="1" ht="33" x14ac:dyDescent="0.25">
      <c r="A117" s="41"/>
      <c r="B117" s="41"/>
      <c r="C117" s="41"/>
      <c r="D117" s="41"/>
      <c r="E117" s="36" t="s">
        <v>22</v>
      </c>
      <c r="F117" s="5">
        <f t="shared" si="34"/>
        <v>1590</v>
      </c>
      <c r="G117" s="43"/>
      <c r="H117" s="5">
        <v>1590</v>
      </c>
      <c r="I117" s="5"/>
      <c r="J117" s="75"/>
    </row>
    <row r="118" spans="1:10" s="39" customFormat="1" ht="33" x14ac:dyDescent="0.25">
      <c r="A118" s="41"/>
      <c r="B118" s="41"/>
      <c r="C118" s="41"/>
      <c r="D118" s="41"/>
      <c r="E118" s="36" t="s">
        <v>109</v>
      </c>
      <c r="F118" s="5">
        <f t="shared" si="34"/>
        <v>960</v>
      </c>
      <c r="G118" s="43"/>
      <c r="H118" s="5">
        <v>960</v>
      </c>
      <c r="I118" s="5"/>
      <c r="J118" s="75"/>
    </row>
    <row r="119" spans="1:10" s="39" customFormat="1" ht="33" x14ac:dyDescent="0.25">
      <c r="A119" s="41"/>
      <c r="B119" s="41"/>
      <c r="C119" s="41"/>
      <c r="D119" s="41"/>
      <c r="E119" s="36" t="s">
        <v>23</v>
      </c>
      <c r="F119" s="5">
        <f t="shared" si="34"/>
        <v>450</v>
      </c>
      <c r="G119" s="43"/>
      <c r="H119" s="5">
        <v>450</v>
      </c>
      <c r="I119" s="5"/>
      <c r="J119" s="75"/>
    </row>
    <row r="120" spans="1:10" s="39" customFormat="1" ht="49.5" x14ac:dyDescent="0.25">
      <c r="A120" s="41"/>
      <c r="B120" s="41"/>
      <c r="C120" s="41"/>
      <c r="D120" s="41"/>
      <c r="E120" s="36" t="s">
        <v>24</v>
      </c>
      <c r="F120" s="5">
        <f t="shared" si="34"/>
        <v>390</v>
      </c>
      <c r="G120" s="43"/>
      <c r="H120" s="5">
        <v>390</v>
      </c>
      <c r="I120" s="5"/>
      <c r="J120" s="76"/>
    </row>
    <row r="121" spans="1:10" s="39" customFormat="1" ht="33" x14ac:dyDescent="0.25">
      <c r="A121" s="41"/>
      <c r="B121" s="41"/>
      <c r="C121" s="41"/>
      <c r="D121" s="41"/>
      <c r="E121" s="37" t="s">
        <v>25</v>
      </c>
      <c r="F121" s="43">
        <f t="shared" si="34"/>
        <v>7230</v>
      </c>
      <c r="G121" s="43">
        <f t="shared" ref="G121:J121" si="35">SUM(G122:G123)</f>
        <v>0</v>
      </c>
      <c r="H121" s="43">
        <f t="shared" si="35"/>
        <v>7230</v>
      </c>
      <c r="I121" s="43">
        <f t="shared" si="35"/>
        <v>0</v>
      </c>
      <c r="J121" s="43">
        <f t="shared" si="35"/>
        <v>0</v>
      </c>
    </row>
    <row r="122" spans="1:10" s="39" customFormat="1" ht="33" x14ac:dyDescent="0.25">
      <c r="A122" s="41"/>
      <c r="B122" s="41"/>
      <c r="C122" s="41"/>
      <c r="D122" s="41"/>
      <c r="E122" s="36" t="s">
        <v>110</v>
      </c>
      <c r="F122" s="5">
        <f t="shared" si="34"/>
        <v>5140</v>
      </c>
      <c r="G122" s="43"/>
      <c r="H122" s="5">
        <v>5140</v>
      </c>
      <c r="I122" s="5"/>
      <c r="J122" s="76"/>
    </row>
    <row r="123" spans="1:10" s="39" customFormat="1" ht="49.5" x14ac:dyDescent="0.25">
      <c r="A123" s="41"/>
      <c r="B123" s="41"/>
      <c r="C123" s="41"/>
      <c r="D123" s="41"/>
      <c r="E123" s="36" t="s">
        <v>111</v>
      </c>
      <c r="F123" s="5">
        <f t="shared" si="34"/>
        <v>2090</v>
      </c>
      <c r="G123" s="43"/>
      <c r="H123" s="5">
        <v>2090</v>
      </c>
      <c r="I123" s="5"/>
      <c r="J123" s="76"/>
    </row>
    <row r="124" spans="1:10" s="40" customFormat="1" ht="33" x14ac:dyDescent="0.25">
      <c r="A124" s="41"/>
      <c r="B124" s="41"/>
      <c r="C124" s="41"/>
      <c r="D124" s="41"/>
      <c r="E124" s="37" t="s">
        <v>26</v>
      </c>
      <c r="F124" s="43">
        <f t="shared" si="34"/>
        <v>110</v>
      </c>
      <c r="G124" s="43">
        <f t="shared" ref="G124:J124" si="36">SUM(G125)</f>
        <v>0</v>
      </c>
      <c r="H124" s="43">
        <f t="shared" si="36"/>
        <v>110</v>
      </c>
      <c r="I124" s="43">
        <f t="shared" si="36"/>
        <v>0</v>
      </c>
      <c r="J124" s="43">
        <f t="shared" si="36"/>
        <v>0</v>
      </c>
    </row>
    <row r="125" spans="1:10" s="40" customFormat="1" ht="49.5" x14ac:dyDescent="0.25">
      <c r="A125" s="41"/>
      <c r="B125" s="41"/>
      <c r="C125" s="41"/>
      <c r="D125" s="41"/>
      <c r="E125" s="36" t="s">
        <v>27</v>
      </c>
      <c r="F125" s="5">
        <f t="shared" si="34"/>
        <v>110</v>
      </c>
      <c r="G125" s="43"/>
      <c r="H125" s="5">
        <v>110</v>
      </c>
      <c r="I125" s="5"/>
      <c r="J125" s="76"/>
    </row>
    <row r="126" spans="1:10" s="39" customFormat="1" ht="33" x14ac:dyDescent="0.25">
      <c r="A126" s="41"/>
      <c r="B126" s="41"/>
      <c r="C126" s="41"/>
      <c r="D126" s="41"/>
      <c r="E126" s="37" t="s">
        <v>28</v>
      </c>
      <c r="F126" s="43">
        <f t="shared" si="34"/>
        <v>10</v>
      </c>
      <c r="G126" s="43">
        <f t="shared" ref="G126:J126" si="37">SUM(G127)</f>
        <v>0</v>
      </c>
      <c r="H126" s="43">
        <f t="shared" si="37"/>
        <v>10</v>
      </c>
      <c r="I126" s="43">
        <f t="shared" si="37"/>
        <v>0</v>
      </c>
      <c r="J126" s="43">
        <f t="shared" si="37"/>
        <v>0</v>
      </c>
    </row>
    <row r="127" spans="1:10" s="39" customFormat="1" ht="16.5" x14ac:dyDescent="0.25">
      <c r="A127" s="41"/>
      <c r="B127" s="41"/>
      <c r="C127" s="41"/>
      <c r="D127" s="41"/>
      <c r="E127" s="36" t="s">
        <v>29</v>
      </c>
      <c r="F127" s="43">
        <f t="shared" si="34"/>
        <v>10</v>
      </c>
      <c r="G127" s="43"/>
      <c r="H127" s="5">
        <v>10</v>
      </c>
      <c r="I127" s="5"/>
      <c r="J127" s="75"/>
    </row>
    <row r="128" spans="1:10" s="39" customFormat="1" ht="33" x14ac:dyDescent="0.25">
      <c r="A128" s="41"/>
      <c r="B128" s="41"/>
      <c r="C128" s="41"/>
      <c r="D128" s="41"/>
      <c r="E128" s="37" t="s">
        <v>30</v>
      </c>
      <c r="F128" s="43">
        <f t="shared" si="34"/>
        <v>170</v>
      </c>
      <c r="G128" s="43">
        <f t="shared" ref="G128:J128" si="38">SUM(G129)</f>
        <v>0</v>
      </c>
      <c r="H128" s="43">
        <f t="shared" si="38"/>
        <v>170</v>
      </c>
      <c r="I128" s="43">
        <f t="shared" si="38"/>
        <v>0</v>
      </c>
      <c r="J128" s="43">
        <f t="shared" si="38"/>
        <v>0</v>
      </c>
    </row>
    <row r="129" spans="1:10" s="39" customFormat="1" ht="33" x14ac:dyDescent="0.25">
      <c r="A129" s="41"/>
      <c r="B129" s="41"/>
      <c r="C129" s="41"/>
      <c r="D129" s="41"/>
      <c r="E129" s="36" t="s">
        <v>112</v>
      </c>
      <c r="F129" s="5">
        <f t="shared" si="34"/>
        <v>170</v>
      </c>
      <c r="G129" s="43"/>
      <c r="H129" s="5">
        <v>170</v>
      </c>
      <c r="I129" s="5"/>
      <c r="J129" s="75"/>
    </row>
    <row r="130" spans="1:10" s="39" customFormat="1" ht="16.5" x14ac:dyDescent="0.25">
      <c r="A130" s="41"/>
      <c r="B130" s="41"/>
      <c r="C130" s="41"/>
      <c r="D130" s="41"/>
      <c r="E130" s="37" t="s">
        <v>113</v>
      </c>
      <c r="F130" s="43">
        <f t="shared" si="34"/>
        <v>9000</v>
      </c>
      <c r="G130" s="43">
        <f>SUM(G131:G131)</f>
        <v>0</v>
      </c>
      <c r="H130" s="43">
        <f t="shared" ref="H130:J130" si="39">SUM(H131:H131)</f>
        <v>9000</v>
      </c>
      <c r="I130" s="43">
        <f t="shared" si="39"/>
        <v>0</v>
      </c>
      <c r="J130" s="43">
        <f t="shared" si="39"/>
        <v>0</v>
      </c>
    </row>
    <row r="131" spans="1:10" s="39" customFormat="1" ht="33" x14ac:dyDescent="0.25">
      <c r="A131" s="41"/>
      <c r="B131" s="41"/>
      <c r="C131" s="41"/>
      <c r="D131" s="41"/>
      <c r="E131" s="36" t="s">
        <v>31</v>
      </c>
      <c r="F131" s="5">
        <f t="shared" si="34"/>
        <v>9000</v>
      </c>
      <c r="G131" s="43"/>
      <c r="H131" s="5">
        <v>9000</v>
      </c>
      <c r="I131" s="5"/>
      <c r="J131" s="75"/>
    </row>
    <row r="132" spans="1:10" s="39" customFormat="1" ht="33" x14ac:dyDescent="0.25">
      <c r="A132" s="41"/>
      <c r="B132" s="41"/>
      <c r="C132" s="41"/>
      <c r="D132" s="41"/>
      <c r="E132" s="38" t="s">
        <v>115</v>
      </c>
      <c r="F132" s="43">
        <f>SUM(G132:I132)</f>
        <v>2710</v>
      </c>
      <c r="G132" s="43">
        <f t="shared" ref="G132:J132" si="40">SUM(G133+G135+G137)</f>
        <v>0</v>
      </c>
      <c r="H132" s="43">
        <f t="shared" si="40"/>
        <v>2710</v>
      </c>
      <c r="I132" s="43">
        <f t="shared" si="40"/>
        <v>0</v>
      </c>
      <c r="J132" s="43">
        <f t="shared" si="40"/>
        <v>0</v>
      </c>
    </row>
    <row r="133" spans="1:10" s="39" customFormat="1" ht="33" x14ac:dyDescent="0.25">
      <c r="A133" s="41"/>
      <c r="B133" s="41"/>
      <c r="C133" s="41"/>
      <c r="D133" s="41"/>
      <c r="E133" s="37" t="s">
        <v>32</v>
      </c>
      <c r="F133" s="43">
        <f t="shared" si="34"/>
        <v>1260</v>
      </c>
      <c r="G133" s="43">
        <f t="shared" ref="G133:J133" si="41">SUM(G134)</f>
        <v>0</v>
      </c>
      <c r="H133" s="43">
        <f t="shared" si="41"/>
        <v>1260</v>
      </c>
      <c r="I133" s="43">
        <f t="shared" si="41"/>
        <v>0</v>
      </c>
      <c r="J133" s="43">
        <f t="shared" si="41"/>
        <v>0</v>
      </c>
    </row>
    <row r="134" spans="1:10" s="39" customFormat="1" ht="33" x14ac:dyDescent="0.25">
      <c r="A134" s="41"/>
      <c r="B134" s="41"/>
      <c r="C134" s="41"/>
      <c r="D134" s="41"/>
      <c r="E134" s="36" t="s">
        <v>33</v>
      </c>
      <c r="F134" s="5">
        <f t="shared" si="34"/>
        <v>1260</v>
      </c>
      <c r="G134" s="43"/>
      <c r="H134" s="5">
        <v>1260</v>
      </c>
      <c r="I134" s="5"/>
      <c r="J134" s="75"/>
    </row>
    <row r="135" spans="1:10" s="39" customFormat="1" ht="16.5" x14ac:dyDescent="0.25">
      <c r="A135" s="41"/>
      <c r="B135" s="41"/>
      <c r="C135" s="41"/>
      <c r="D135" s="41"/>
      <c r="E135" s="37" t="s">
        <v>34</v>
      </c>
      <c r="F135" s="43">
        <f t="shared" si="34"/>
        <v>1260</v>
      </c>
      <c r="G135" s="43">
        <f t="shared" ref="G135:J135" si="42">SUM(G136)</f>
        <v>0</v>
      </c>
      <c r="H135" s="43">
        <f t="shared" si="42"/>
        <v>1260</v>
      </c>
      <c r="I135" s="43">
        <f t="shared" si="42"/>
        <v>0</v>
      </c>
      <c r="J135" s="43">
        <f t="shared" si="42"/>
        <v>0</v>
      </c>
    </row>
    <row r="136" spans="1:10" s="39" customFormat="1" ht="33" x14ac:dyDescent="0.25">
      <c r="A136" s="41"/>
      <c r="B136" s="41"/>
      <c r="C136" s="41"/>
      <c r="D136" s="41"/>
      <c r="E136" s="36" t="s">
        <v>35</v>
      </c>
      <c r="F136" s="5">
        <f t="shared" si="34"/>
        <v>1260</v>
      </c>
      <c r="G136" s="43"/>
      <c r="H136" s="5">
        <v>1260</v>
      </c>
      <c r="I136" s="5"/>
      <c r="J136" s="75"/>
    </row>
    <row r="137" spans="1:10" s="39" customFormat="1" ht="49.5" x14ac:dyDescent="0.25">
      <c r="A137" s="41"/>
      <c r="B137" s="41"/>
      <c r="C137" s="41"/>
      <c r="D137" s="41"/>
      <c r="E137" s="37" t="s">
        <v>36</v>
      </c>
      <c r="F137" s="43">
        <f t="shared" si="34"/>
        <v>190</v>
      </c>
      <c r="G137" s="43">
        <f t="shared" ref="G137:J137" si="43">SUM(G138)</f>
        <v>0</v>
      </c>
      <c r="H137" s="43">
        <f t="shared" si="43"/>
        <v>190</v>
      </c>
      <c r="I137" s="43">
        <f t="shared" si="43"/>
        <v>0</v>
      </c>
      <c r="J137" s="43">
        <f t="shared" si="43"/>
        <v>0</v>
      </c>
    </row>
    <row r="138" spans="1:10" s="39" customFormat="1" ht="33" x14ac:dyDescent="0.25">
      <c r="A138" s="41"/>
      <c r="B138" s="41"/>
      <c r="C138" s="41"/>
      <c r="D138" s="41"/>
      <c r="E138" s="36" t="s">
        <v>37</v>
      </c>
      <c r="F138" s="5">
        <f t="shared" si="34"/>
        <v>190</v>
      </c>
      <c r="G138" s="43"/>
      <c r="H138" s="5">
        <v>190</v>
      </c>
      <c r="I138" s="5"/>
      <c r="J138" s="75"/>
    </row>
    <row r="139" spans="1:10" s="39" customFormat="1" ht="33" x14ac:dyDescent="0.25">
      <c r="A139" s="41"/>
      <c r="B139" s="41"/>
      <c r="C139" s="41"/>
      <c r="D139" s="41"/>
      <c r="E139" s="38" t="s">
        <v>116</v>
      </c>
      <c r="F139" s="43">
        <f>SUM(G139:I139)</f>
        <v>11730</v>
      </c>
      <c r="G139" s="43">
        <f t="shared" ref="G139:J139" si="44">SUM(G140+G142+G143+G144+G145+G146+G147+G148+G149+G150+G151+G152+G153+G154)</f>
        <v>0</v>
      </c>
      <c r="H139" s="43">
        <f t="shared" si="44"/>
        <v>11730</v>
      </c>
      <c r="I139" s="43">
        <f t="shared" si="44"/>
        <v>0</v>
      </c>
      <c r="J139" s="43">
        <f t="shared" si="44"/>
        <v>0</v>
      </c>
    </row>
    <row r="140" spans="1:10" s="39" customFormat="1" ht="16.5" x14ac:dyDescent="0.25">
      <c r="A140" s="41"/>
      <c r="B140" s="41"/>
      <c r="C140" s="41"/>
      <c r="D140" s="41"/>
      <c r="E140" s="37" t="s">
        <v>38</v>
      </c>
      <c r="F140" s="43">
        <f t="shared" si="34"/>
        <v>390</v>
      </c>
      <c r="G140" s="43">
        <f t="shared" ref="G140:J140" si="45">SUM(G141)</f>
        <v>0</v>
      </c>
      <c r="H140" s="43">
        <f t="shared" si="45"/>
        <v>390</v>
      </c>
      <c r="I140" s="43">
        <f t="shared" si="45"/>
        <v>0</v>
      </c>
      <c r="J140" s="43">
        <f t="shared" si="45"/>
        <v>0</v>
      </c>
    </row>
    <row r="141" spans="1:10" s="39" customFormat="1" ht="49.5" x14ac:dyDescent="0.25">
      <c r="A141" s="41"/>
      <c r="B141" s="41"/>
      <c r="C141" s="41"/>
      <c r="D141" s="41"/>
      <c r="E141" s="36" t="s">
        <v>39</v>
      </c>
      <c r="F141" s="5">
        <f t="shared" si="34"/>
        <v>390</v>
      </c>
      <c r="G141" s="43"/>
      <c r="H141" s="5">
        <v>390</v>
      </c>
      <c r="I141" s="5"/>
      <c r="J141" s="75"/>
    </row>
    <row r="142" spans="1:10" s="39" customFormat="1" ht="66" x14ac:dyDescent="0.25">
      <c r="A142" s="41"/>
      <c r="B142" s="41"/>
      <c r="C142" s="41"/>
      <c r="D142" s="41"/>
      <c r="E142" s="37" t="s">
        <v>117</v>
      </c>
      <c r="F142" s="43">
        <f t="shared" si="34"/>
        <v>480</v>
      </c>
      <c r="G142" s="43"/>
      <c r="H142" s="43">
        <v>480</v>
      </c>
      <c r="I142" s="43"/>
      <c r="J142" s="75"/>
    </row>
    <row r="143" spans="1:10" s="39" customFormat="1" ht="49.5" x14ac:dyDescent="0.25">
      <c r="A143" s="41"/>
      <c r="B143" s="41"/>
      <c r="C143" s="41"/>
      <c r="D143" s="41"/>
      <c r="E143" s="37" t="s">
        <v>40</v>
      </c>
      <c r="F143" s="43">
        <f t="shared" si="34"/>
        <v>180</v>
      </c>
      <c r="G143" s="43"/>
      <c r="H143" s="43">
        <v>180</v>
      </c>
      <c r="I143" s="43"/>
      <c r="J143" s="75"/>
    </row>
    <row r="144" spans="1:10" s="39" customFormat="1" ht="49.5" x14ac:dyDescent="0.25">
      <c r="A144" s="41"/>
      <c r="B144" s="41"/>
      <c r="C144" s="41"/>
      <c r="D144" s="41"/>
      <c r="E144" s="37" t="s">
        <v>41</v>
      </c>
      <c r="F144" s="43">
        <f t="shared" si="34"/>
        <v>600</v>
      </c>
      <c r="G144" s="43"/>
      <c r="H144" s="43">
        <v>600</v>
      </c>
      <c r="I144" s="43"/>
      <c r="J144" s="75"/>
    </row>
    <row r="145" spans="1:10" s="39" customFormat="1" ht="33" x14ac:dyDescent="0.25">
      <c r="A145" s="41"/>
      <c r="B145" s="41"/>
      <c r="C145" s="41"/>
      <c r="D145" s="41"/>
      <c r="E145" s="37" t="s">
        <v>42</v>
      </c>
      <c r="F145" s="43">
        <f t="shared" si="34"/>
        <v>710</v>
      </c>
      <c r="G145" s="43"/>
      <c r="H145" s="43">
        <v>710</v>
      </c>
      <c r="I145" s="43"/>
      <c r="J145" s="75"/>
    </row>
    <row r="146" spans="1:10" s="39" customFormat="1" ht="49.5" x14ac:dyDescent="0.25">
      <c r="A146" s="41"/>
      <c r="B146" s="41"/>
      <c r="C146" s="41"/>
      <c r="D146" s="41"/>
      <c r="E146" s="37" t="s">
        <v>43</v>
      </c>
      <c r="F146" s="43">
        <f t="shared" si="34"/>
        <v>1210</v>
      </c>
      <c r="G146" s="43"/>
      <c r="H146" s="43">
        <v>1210</v>
      </c>
      <c r="I146" s="43"/>
      <c r="J146" s="75"/>
    </row>
    <row r="147" spans="1:10" s="39" customFormat="1" ht="49.5" x14ac:dyDescent="0.25">
      <c r="A147" s="41"/>
      <c r="B147" s="41"/>
      <c r="C147" s="41"/>
      <c r="D147" s="41"/>
      <c r="E147" s="37" t="s">
        <v>44</v>
      </c>
      <c r="F147" s="43">
        <f t="shared" si="34"/>
        <v>1180</v>
      </c>
      <c r="G147" s="43"/>
      <c r="H147" s="43">
        <v>1180</v>
      </c>
      <c r="I147" s="43"/>
      <c r="J147" s="75"/>
    </row>
    <row r="148" spans="1:10" s="39" customFormat="1" ht="49.5" x14ac:dyDescent="0.25">
      <c r="A148" s="41"/>
      <c r="B148" s="41"/>
      <c r="C148" s="41"/>
      <c r="D148" s="41"/>
      <c r="E148" s="37" t="s">
        <v>45</v>
      </c>
      <c r="F148" s="43">
        <f t="shared" si="34"/>
        <v>1790</v>
      </c>
      <c r="G148" s="43"/>
      <c r="H148" s="43">
        <v>1790</v>
      </c>
      <c r="I148" s="43"/>
      <c r="J148" s="75"/>
    </row>
    <row r="149" spans="1:10" s="39" customFormat="1" ht="49.5" x14ac:dyDescent="0.25">
      <c r="A149" s="41"/>
      <c r="B149" s="41"/>
      <c r="C149" s="41"/>
      <c r="D149" s="41"/>
      <c r="E149" s="37" t="s">
        <v>118</v>
      </c>
      <c r="F149" s="43">
        <f t="shared" si="34"/>
        <v>80</v>
      </c>
      <c r="G149" s="43"/>
      <c r="H149" s="43">
        <v>80</v>
      </c>
      <c r="I149" s="43"/>
      <c r="J149" s="75"/>
    </row>
    <row r="150" spans="1:10" s="39" customFormat="1" ht="49.5" x14ac:dyDescent="0.25">
      <c r="A150" s="41"/>
      <c r="B150" s="41"/>
      <c r="C150" s="41"/>
      <c r="D150" s="41"/>
      <c r="E150" s="37" t="s">
        <v>46</v>
      </c>
      <c r="F150" s="43">
        <f t="shared" si="34"/>
        <v>210</v>
      </c>
      <c r="G150" s="43"/>
      <c r="H150" s="43">
        <v>210</v>
      </c>
      <c r="I150" s="43"/>
      <c r="J150" s="75"/>
    </row>
    <row r="151" spans="1:10" s="39" customFormat="1" ht="33" x14ac:dyDescent="0.25">
      <c r="A151" s="41"/>
      <c r="B151" s="41"/>
      <c r="C151" s="41"/>
      <c r="D151" s="41"/>
      <c r="E151" s="37" t="s">
        <v>47</v>
      </c>
      <c r="F151" s="43">
        <f t="shared" si="34"/>
        <v>2160</v>
      </c>
      <c r="G151" s="43"/>
      <c r="H151" s="43">
        <v>2160</v>
      </c>
      <c r="I151" s="43"/>
      <c r="J151" s="75"/>
    </row>
    <row r="152" spans="1:10" s="39" customFormat="1" ht="66" x14ac:dyDescent="0.25">
      <c r="A152" s="41"/>
      <c r="B152" s="41"/>
      <c r="C152" s="41"/>
      <c r="D152" s="41"/>
      <c r="E152" s="37" t="s">
        <v>119</v>
      </c>
      <c r="F152" s="43">
        <f t="shared" si="34"/>
        <v>540</v>
      </c>
      <c r="G152" s="43"/>
      <c r="H152" s="43">
        <v>540</v>
      </c>
      <c r="I152" s="43"/>
      <c r="J152" s="75"/>
    </row>
    <row r="153" spans="1:10" s="39" customFormat="1" ht="49.5" x14ac:dyDescent="0.25">
      <c r="A153" s="41"/>
      <c r="B153" s="41"/>
      <c r="C153" s="41"/>
      <c r="D153" s="41"/>
      <c r="E153" s="37" t="s">
        <v>120</v>
      </c>
      <c r="F153" s="43">
        <f t="shared" si="34"/>
        <v>1300</v>
      </c>
      <c r="G153" s="43"/>
      <c r="H153" s="43">
        <v>1300</v>
      </c>
      <c r="I153" s="43"/>
      <c r="J153" s="75"/>
    </row>
    <row r="154" spans="1:10" s="39" customFormat="1" ht="33" x14ac:dyDescent="0.25">
      <c r="A154" s="41"/>
      <c r="B154" s="41"/>
      <c r="C154" s="41"/>
      <c r="D154" s="41"/>
      <c r="E154" s="37" t="s">
        <v>121</v>
      </c>
      <c r="F154" s="43">
        <f t="shared" si="34"/>
        <v>900</v>
      </c>
      <c r="G154" s="43"/>
      <c r="H154" s="43">
        <v>900</v>
      </c>
      <c r="I154" s="43"/>
      <c r="J154" s="75"/>
    </row>
    <row r="155" spans="1:10" s="50" customFormat="1" ht="66" x14ac:dyDescent="0.25">
      <c r="A155" s="41"/>
      <c r="B155" s="41"/>
      <c r="C155" s="41"/>
      <c r="D155" s="41"/>
      <c r="E155" s="51" t="s">
        <v>153</v>
      </c>
      <c r="F155" s="43">
        <f>SUM(F156+F163+F165)</f>
        <v>73910</v>
      </c>
      <c r="G155" s="43">
        <f t="shared" ref="G155:J155" si="46">SUM(G156+G163+G165)</f>
        <v>0</v>
      </c>
      <c r="H155" s="43">
        <f t="shared" si="46"/>
        <v>0</v>
      </c>
      <c r="I155" s="43">
        <f t="shared" si="46"/>
        <v>73910</v>
      </c>
      <c r="J155" s="43">
        <f t="shared" si="46"/>
        <v>0</v>
      </c>
    </row>
    <row r="156" spans="1:10" s="50" customFormat="1" ht="33" x14ac:dyDescent="0.25">
      <c r="A156" s="41"/>
      <c r="B156" s="41"/>
      <c r="C156" s="41"/>
      <c r="D156" s="41"/>
      <c r="E156" s="37" t="s">
        <v>108</v>
      </c>
      <c r="F156" s="43">
        <f>SUM(F157+F159+F161)</f>
        <v>40150</v>
      </c>
      <c r="G156" s="43"/>
      <c r="H156" s="43"/>
      <c r="I156" s="43">
        <f t="shared" ref="I156:J156" si="47">SUM(I157+I159+I161)</f>
        <v>40150</v>
      </c>
      <c r="J156" s="43">
        <f t="shared" si="47"/>
        <v>0</v>
      </c>
    </row>
    <row r="157" spans="1:10" s="50" customFormat="1" ht="33" x14ac:dyDescent="0.25">
      <c r="A157" s="41"/>
      <c r="B157" s="41"/>
      <c r="C157" s="41"/>
      <c r="D157" s="41"/>
      <c r="E157" s="37" t="s">
        <v>25</v>
      </c>
      <c r="F157" s="43">
        <f>SUM(F158)</f>
        <v>350</v>
      </c>
      <c r="G157" s="43">
        <f t="shared" ref="G157" si="48">SUM(G158)</f>
        <v>0</v>
      </c>
      <c r="H157" s="43"/>
      <c r="I157" s="43">
        <v>350</v>
      </c>
      <c r="J157" s="76"/>
    </row>
    <row r="158" spans="1:10" s="50" customFormat="1" ht="33" x14ac:dyDescent="0.25">
      <c r="A158" s="41"/>
      <c r="B158" s="41"/>
      <c r="C158" s="41"/>
      <c r="D158" s="41"/>
      <c r="E158" s="36" t="s">
        <v>127</v>
      </c>
      <c r="F158" s="5">
        <f>SUM(G158:I158)</f>
        <v>350</v>
      </c>
      <c r="G158" s="5"/>
      <c r="H158" s="5"/>
      <c r="I158" s="5">
        <v>350</v>
      </c>
      <c r="J158" s="76"/>
    </row>
    <row r="159" spans="1:10" s="50" customFormat="1" ht="23.25" customHeight="1" x14ac:dyDescent="0.25">
      <c r="A159" s="41"/>
      <c r="B159" s="41"/>
      <c r="C159" s="41"/>
      <c r="D159" s="41"/>
      <c r="E159" s="37" t="s">
        <v>128</v>
      </c>
      <c r="F159" s="43">
        <f>SUM(G159:I159)</f>
        <v>37900</v>
      </c>
      <c r="G159" s="43"/>
      <c r="H159" s="43"/>
      <c r="I159" s="43">
        <f>SUM(I160)</f>
        <v>37900</v>
      </c>
      <c r="J159" s="43">
        <f t="shared" ref="J159" si="49">SUM(K159:M159)</f>
        <v>0</v>
      </c>
    </row>
    <row r="160" spans="1:10" s="50" customFormat="1" ht="23.25" customHeight="1" x14ac:dyDescent="0.25">
      <c r="A160" s="41"/>
      <c r="B160" s="41"/>
      <c r="C160" s="41"/>
      <c r="D160" s="41"/>
      <c r="E160" s="36" t="s">
        <v>129</v>
      </c>
      <c r="F160" s="5">
        <f t="shared" ref="F160:F178" si="50">SUM(G160:I160)</f>
        <v>37900</v>
      </c>
      <c r="G160" s="43"/>
      <c r="H160" s="43"/>
      <c r="I160" s="5">
        <v>37900</v>
      </c>
      <c r="J160" s="76"/>
    </row>
    <row r="161" spans="1:10" s="50" customFormat="1" ht="23.25" customHeight="1" x14ac:dyDescent="0.25">
      <c r="A161" s="41"/>
      <c r="B161" s="41"/>
      <c r="C161" s="41"/>
      <c r="D161" s="41"/>
      <c r="E161" s="37" t="s">
        <v>130</v>
      </c>
      <c r="F161" s="43">
        <f t="shared" si="50"/>
        <v>1900</v>
      </c>
      <c r="G161" s="43"/>
      <c r="H161" s="43"/>
      <c r="I161" s="43">
        <v>1900</v>
      </c>
      <c r="J161" s="76"/>
    </row>
    <row r="162" spans="1:10" s="50" customFormat="1" ht="49.5" x14ac:dyDescent="0.25">
      <c r="A162" s="41"/>
      <c r="B162" s="41"/>
      <c r="C162" s="41"/>
      <c r="D162" s="41"/>
      <c r="E162" s="36" t="s">
        <v>131</v>
      </c>
      <c r="F162" s="5">
        <f t="shared" si="50"/>
        <v>1900</v>
      </c>
      <c r="G162" s="43"/>
      <c r="H162" s="43"/>
      <c r="I162" s="5">
        <v>1900</v>
      </c>
      <c r="J162" s="76"/>
    </row>
    <row r="163" spans="1:10" s="50" customFormat="1" ht="33" x14ac:dyDescent="0.25">
      <c r="A163" s="41"/>
      <c r="B163" s="41"/>
      <c r="C163" s="41"/>
      <c r="D163" s="41"/>
      <c r="E163" s="37" t="s">
        <v>115</v>
      </c>
      <c r="F163" s="43">
        <f t="shared" si="50"/>
        <v>200</v>
      </c>
      <c r="G163" s="43">
        <f t="shared" ref="G163" si="51">SUM(G164)</f>
        <v>0</v>
      </c>
      <c r="H163" s="43"/>
      <c r="I163" s="43">
        <v>200</v>
      </c>
      <c r="J163" s="76"/>
    </row>
    <row r="164" spans="1:10" s="50" customFormat="1" ht="49.5" x14ac:dyDescent="0.25">
      <c r="A164" s="41"/>
      <c r="B164" s="41"/>
      <c r="C164" s="41"/>
      <c r="D164" s="41"/>
      <c r="E164" s="36" t="s">
        <v>132</v>
      </c>
      <c r="F164" s="5">
        <f t="shared" si="50"/>
        <v>200</v>
      </c>
      <c r="G164" s="43"/>
      <c r="H164" s="43"/>
      <c r="I164" s="5">
        <v>200</v>
      </c>
      <c r="J164" s="76"/>
    </row>
    <row r="165" spans="1:10" s="50" customFormat="1" ht="33" x14ac:dyDescent="0.25">
      <c r="A165" s="41"/>
      <c r="B165" s="41"/>
      <c r="C165" s="41"/>
      <c r="D165" s="41"/>
      <c r="E165" s="37" t="s">
        <v>116</v>
      </c>
      <c r="F165" s="43">
        <f>SUM(F166:F178)</f>
        <v>33560</v>
      </c>
      <c r="G165" s="43">
        <f t="shared" ref="G165:I165" si="52">SUM(G166:G178)</f>
        <v>0</v>
      </c>
      <c r="H165" s="43">
        <f t="shared" si="52"/>
        <v>0</v>
      </c>
      <c r="I165" s="43">
        <f t="shared" si="52"/>
        <v>33560</v>
      </c>
      <c r="J165" s="76"/>
    </row>
    <row r="166" spans="1:10" s="50" customFormat="1" ht="49.5" x14ac:dyDescent="0.25">
      <c r="A166" s="41"/>
      <c r="B166" s="41"/>
      <c r="C166" s="41"/>
      <c r="D166" s="41"/>
      <c r="E166" s="36" t="s">
        <v>133</v>
      </c>
      <c r="F166" s="5">
        <f t="shared" si="50"/>
        <v>7000</v>
      </c>
      <c r="G166" s="43"/>
      <c r="H166" s="43"/>
      <c r="I166" s="5">
        <v>7000</v>
      </c>
      <c r="J166" s="76"/>
    </row>
    <row r="167" spans="1:10" s="50" customFormat="1" ht="49.5" x14ac:dyDescent="0.25">
      <c r="A167" s="41"/>
      <c r="B167" s="41"/>
      <c r="C167" s="41"/>
      <c r="D167" s="41"/>
      <c r="E167" s="36" t="s">
        <v>134</v>
      </c>
      <c r="F167" s="5">
        <f t="shared" si="50"/>
        <v>3600</v>
      </c>
      <c r="G167" s="43"/>
      <c r="H167" s="43"/>
      <c r="I167" s="5">
        <v>3600</v>
      </c>
      <c r="J167" s="76"/>
    </row>
    <row r="168" spans="1:10" s="50" customFormat="1" ht="33" x14ac:dyDescent="0.25">
      <c r="A168" s="41"/>
      <c r="B168" s="41"/>
      <c r="C168" s="41"/>
      <c r="D168" s="41"/>
      <c r="E168" s="36" t="s">
        <v>135</v>
      </c>
      <c r="F168" s="5">
        <f t="shared" si="50"/>
        <v>1300</v>
      </c>
      <c r="G168" s="43"/>
      <c r="H168" s="43"/>
      <c r="I168" s="5">
        <v>1300</v>
      </c>
      <c r="J168" s="76"/>
    </row>
    <row r="169" spans="1:10" s="50" customFormat="1" ht="49.5" x14ac:dyDescent="0.25">
      <c r="A169" s="41"/>
      <c r="B169" s="41"/>
      <c r="C169" s="41"/>
      <c r="D169" s="41"/>
      <c r="E169" s="36" t="s">
        <v>136</v>
      </c>
      <c r="F169" s="5">
        <f>SUM(G169:I169)</f>
        <v>3370</v>
      </c>
      <c r="G169" s="43"/>
      <c r="H169" s="43"/>
      <c r="I169" s="5">
        <v>3370</v>
      </c>
      <c r="J169" s="76"/>
    </row>
    <row r="170" spans="1:10" s="50" customFormat="1" ht="66" x14ac:dyDescent="0.25">
      <c r="A170" s="41"/>
      <c r="B170" s="41"/>
      <c r="C170" s="41"/>
      <c r="D170" s="41"/>
      <c r="E170" s="36" t="s">
        <v>137</v>
      </c>
      <c r="F170" s="5">
        <f t="shared" si="50"/>
        <v>2400</v>
      </c>
      <c r="G170" s="43"/>
      <c r="H170" s="43"/>
      <c r="I170" s="5">
        <v>2400</v>
      </c>
      <c r="J170" s="76"/>
    </row>
    <row r="171" spans="1:10" s="50" customFormat="1" ht="49.5" x14ac:dyDescent="0.25">
      <c r="A171" s="41"/>
      <c r="B171" s="41"/>
      <c r="C171" s="41"/>
      <c r="D171" s="41"/>
      <c r="E171" s="36" t="s">
        <v>138</v>
      </c>
      <c r="F171" s="5">
        <f t="shared" si="50"/>
        <v>2200</v>
      </c>
      <c r="G171" s="43"/>
      <c r="H171" s="43"/>
      <c r="I171" s="5">
        <v>2200</v>
      </c>
      <c r="J171" s="76"/>
    </row>
    <row r="172" spans="1:10" s="50" customFormat="1" ht="49.5" x14ac:dyDescent="0.25">
      <c r="A172" s="41"/>
      <c r="B172" s="41"/>
      <c r="C172" s="41"/>
      <c r="D172" s="41"/>
      <c r="E172" s="36" t="s">
        <v>139</v>
      </c>
      <c r="F172" s="5">
        <f>SUM(G172:I172)</f>
        <v>1130</v>
      </c>
      <c r="G172" s="43"/>
      <c r="H172" s="43"/>
      <c r="I172" s="5">
        <v>1130</v>
      </c>
      <c r="J172" s="76"/>
    </row>
    <row r="173" spans="1:10" s="50" customFormat="1" ht="49.5" x14ac:dyDescent="0.25">
      <c r="A173" s="41"/>
      <c r="B173" s="41"/>
      <c r="C173" s="41"/>
      <c r="D173" s="41"/>
      <c r="E173" s="36" t="s">
        <v>140</v>
      </c>
      <c r="F173" s="5">
        <f t="shared" si="50"/>
        <v>700</v>
      </c>
      <c r="G173" s="43"/>
      <c r="H173" s="43"/>
      <c r="I173" s="5">
        <v>700</v>
      </c>
      <c r="J173" s="76"/>
    </row>
    <row r="174" spans="1:10" s="50" customFormat="1" ht="49.5" x14ac:dyDescent="0.25">
      <c r="A174" s="41"/>
      <c r="B174" s="41"/>
      <c r="C174" s="41"/>
      <c r="D174" s="41"/>
      <c r="E174" s="36" t="s">
        <v>141</v>
      </c>
      <c r="F174" s="5">
        <f t="shared" si="50"/>
        <v>1360</v>
      </c>
      <c r="G174" s="43"/>
      <c r="H174" s="43"/>
      <c r="I174" s="5">
        <v>1360</v>
      </c>
      <c r="J174" s="76"/>
    </row>
    <row r="175" spans="1:10" s="50" customFormat="1" ht="49.5" x14ac:dyDescent="0.25">
      <c r="A175" s="41"/>
      <c r="B175" s="41"/>
      <c r="C175" s="41"/>
      <c r="D175" s="41"/>
      <c r="E175" s="36" t="s">
        <v>142</v>
      </c>
      <c r="F175" s="5">
        <f t="shared" si="50"/>
        <v>1300</v>
      </c>
      <c r="G175" s="43"/>
      <c r="H175" s="43"/>
      <c r="I175" s="5">
        <v>1300</v>
      </c>
      <c r="J175" s="76"/>
    </row>
    <row r="176" spans="1:10" s="50" customFormat="1" ht="33" x14ac:dyDescent="0.25">
      <c r="A176" s="41"/>
      <c r="B176" s="41"/>
      <c r="C176" s="41"/>
      <c r="D176" s="41"/>
      <c r="E176" s="36" t="s">
        <v>143</v>
      </c>
      <c r="F176" s="5">
        <f t="shared" si="50"/>
        <v>1500</v>
      </c>
      <c r="G176" s="43"/>
      <c r="H176" s="43"/>
      <c r="I176" s="5">
        <v>1500</v>
      </c>
      <c r="J176" s="76"/>
    </row>
    <row r="177" spans="1:10" s="50" customFormat="1" ht="49.5" x14ac:dyDescent="0.25">
      <c r="A177" s="41"/>
      <c r="B177" s="41"/>
      <c r="C177" s="41"/>
      <c r="D177" s="41"/>
      <c r="E177" s="36" t="s">
        <v>144</v>
      </c>
      <c r="F177" s="5">
        <f t="shared" si="50"/>
        <v>6000</v>
      </c>
      <c r="G177" s="43"/>
      <c r="H177" s="43"/>
      <c r="I177" s="5">
        <v>6000</v>
      </c>
      <c r="J177" s="76"/>
    </row>
    <row r="178" spans="1:10" s="50" customFormat="1" ht="33" x14ac:dyDescent="0.25">
      <c r="A178" s="41"/>
      <c r="B178" s="41"/>
      <c r="C178" s="41"/>
      <c r="D178" s="41"/>
      <c r="E178" s="36" t="s">
        <v>145</v>
      </c>
      <c r="F178" s="5">
        <f t="shared" si="50"/>
        <v>1700</v>
      </c>
      <c r="G178" s="43"/>
      <c r="H178" s="43"/>
      <c r="I178" s="5">
        <v>1700</v>
      </c>
      <c r="J178" s="76"/>
    </row>
    <row r="179" spans="1:10" s="10" customFormat="1" ht="33" x14ac:dyDescent="0.25">
      <c r="A179" s="7" t="s">
        <v>10</v>
      </c>
      <c r="B179" s="7" t="s">
        <v>11</v>
      </c>
      <c r="C179" s="7" t="s">
        <v>12</v>
      </c>
      <c r="D179" s="49" t="s">
        <v>60</v>
      </c>
      <c r="E179" s="25" t="s">
        <v>80</v>
      </c>
      <c r="F179" s="81">
        <f>SUM(G179:J179)</f>
        <v>342982.5</v>
      </c>
      <c r="G179" s="81">
        <f>SUM(G181+G195+G207+G219)</f>
        <v>0</v>
      </c>
      <c r="H179" s="81">
        <f>SUM(H181+H207+H195)</f>
        <v>313952.5</v>
      </c>
      <c r="I179" s="81">
        <f>SUM(I181+I219)</f>
        <v>29030</v>
      </c>
      <c r="J179" s="23">
        <f>SUM(J181+J195+J207+J219)</f>
        <v>0</v>
      </c>
    </row>
    <row r="180" spans="1:10" s="21" customFormat="1" ht="16.5" x14ac:dyDescent="0.25">
      <c r="A180" s="7"/>
      <c r="B180" s="7"/>
      <c r="C180" s="7"/>
      <c r="D180" s="8"/>
      <c r="E180" s="22" t="s">
        <v>73</v>
      </c>
      <c r="F180" s="81"/>
      <c r="G180" s="81"/>
      <c r="H180" s="81"/>
      <c r="I180" s="5"/>
      <c r="J180" s="73"/>
    </row>
    <row r="181" spans="1:10" s="21" customFormat="1" ht="33" x14ac:dyDescent="0.25">
      <c r="A181" s="7"/>
      <c r="B181" s="7"/>
      <c r="C181" s="7"/>
      <c r="D181" s="8"/>
      <c r="E181" s="9" t="s">
        <v>156</v>
      </c>
      <c r="F181" s="81">
        <f>SUM(F184+F187+F188+F189+F190+F191+F192+F193+F194+F182)</f>
        <v>305852.5</v>
      </c>
      <c r="G181" s="81">
        <f t="shared" ref="G181:J181" si="53">SUM(G184+G187+G188+G189+G190+G191+G192+G193+G194+G182)</f>
        <v>0</v>
      </c>
      <c r="H181" s="81">
        <f>SUM(H184+H187+H188+H189+H190+H191+H192+H193+H194+H182)</f>
        <v>309342.5</v>
      </c>
      <c r="I181" s="81">
        <f t="shared" si="53"/>
        <v>-3490</v>
      </c>
      <c r="J181" s="81">
        <f t="shared" si="53"/>
        <v>0</v>
      </c>
    </row>
    <row r="182" spans="1:10" s="21" customFormat="1" ht="33" x14ac:dyDescent="0.25">
      <c r="A182" s="7"/>
      <c r="B182" s="7"/>
      <c r="C182" s="7"/>
      <c r="D182" s="8"/>
      <c r="E182" s="27" t="s">
        <v>18</v>
      </c>
      <c r="F182" s="81">
        <f>SUM(F183)</f>
        <v>-3000</v>
      </c>
      <c r="G182" s="81">
        <f t="shared" ref="G182:J182" si="54">SUM(G183)</f>
        <v>0</v>
      </c>
      <c r="H182" s="81">
        <f t="shared" si="54"/>
        <v>0</v>
      </c>
      <c r="I182" s="81">
        <f t="shared" si="54"/>
        <v>-3000</v>
      </c>
      <c r="J182" s="81">
        <f t="shared" si="54"/>
        <v>0</v>
      </c>
    </row>
    <row r="183" spans="1:10" s="21" customFormat="1" ht="33" x14ac:dyDescent="0.25">
      <c r="A183" s="7"/>
      <c r="B183" s="7"/>
      <c r="C183" s="7"/>
      <c r="D183" s="8"/>
      <c r="E183" s="33" t="s">
        <v>81</v>
      </c>
      <c r="F183" s="85">
        <f>SUM(G183:J183)</f>
        <v>-3000</v>
      </c>
      <c r="G183" s="85"/>
      <c r="H183" s="85"/>
      <c r="I183" s="85">
        <v>-3000</v>
      </c>
      <c r="J183" s="23"/>
    </row>
    <row r="184" spans="1:10" s="21" customFormat="1" ht="33" x14ac:dyDescent="0.25">
      <c r="A184" s="7"/>
      <c r="B184" s="7"/>
      <c r="C184" s="7"/>
      <c r="D184" s="7"/>
      <c r="E184" s="27" t="s">
        <v>48</v>
      </c>
      <c r="F184" s="43">
        <f>F185+F186</f>
        <v>-2087.5</v>
      </c>
      <c r="G184" s="43">
        <f>G185+G186</f>
        <v>0</v>
      </c>
      <c r="H184" s="43">
        <f t="shared" ref="H184:J184" si="55">H185+H186</f>
        <v>-2087.5</v>
      </c>
      <c r="I184" s="43">
        <f t="shared" si="55"/>
        <v>0</v>
      </c>
      <c r="J184" s="28">
        <f t="shared" si="55"/>
        <v>0</v>
      </c>
    </row>
    <row r="185" spans="1:10" s="10" customFormat="1" ht="33" x14ac:dyDescent="0.25">
      <c r="A185" s="8"/>
      <c r="B185" s="8"/>
      <c r="C185" s="8"/>
      <c r="D185" s="24"/>
      <c r="E185" s="33" t="s">
        <v>49</v>
      </c>
      <c r="F185" s="5">
        <f t="shared" ref="F185:F194" si="56">SUM(G185:I185)</f>
        <v>-1394.5</v>
      </c>
      <c r="G185" s="85"/>
      <c r="H185" s="85">
        <f>45170-46564.5</f>
        <v>-1394.5</v>
      </c>
      <c r="I185" s="43"/>
      <c r="J185" s="72"/>
    </row>
    <row r="186" spans="1:10" s="10" customFormat="1" ht="33" x14ac:dyDescent="0.25">
      <c r="A186" s="8"/>
      <c r="B186" s="8"/>
      <c r="C186" s="8"/>
      <c r="D186" s="24"/>
      <c r="E186" s="33" t="s">
        <v>50</v>
      </c>
      <c r="F186" s="5">
        <f t="shared" si="56"/>
        <v>-693</v>
      </c>
      <c r="G186" s="85"/>
      <c r="H186" s="85">
        <f>25470-26163</f>
        <v>-693</v>
      </c>
      <c r="I186" s="43"/>
      <c r="J186" s="72"/>
    </row>
    <row r="187" spans="1:10" s="21" customFormat="1" ht="66" x14ac:dyDescent="0.25">
      <c r="A187" s="7"/>
      <c r="B187" s="7"/>
      <c r="C187" s="7"/>
      <c r="D187" s="7"/>
      <c r="E187" s="27" t="s">
        <v>51</v>
      </c>
      <c r="F187" s="84">
        <f t="shared" si="56"/>
        <v>99630</v>
      </c>
      <c r="G187" s="43"/>
      <c r="H187" s="43">
        <v>99830</v>
      </c>
      <c r="I187" s="43">
        <f>800-1000</f>
        <v>-200</v>
      </c>
      <c r="J187" s="73"/>
    </row>
    <row r="188" spans="1:10" s="21" customFormat="1" ht="49.5" x14ac:dyDescent="0.25">
      <c r="A188" s="7"/>
      <c r="B188" s="7"/>
      <c r="C188" s="7"/>
      <c r="D188" s="7"/>
      <c r="E188" s="27" t="s">
        <v>52</v>
      </c>
      <c r="F188" s="43">
        <f t="shared" si="56"/>
        <v>57120</v>
      </c>
      <c r="G188" s="43"/>
      <c r="H188" s="43">
        <v>57200</v>
      </c>
      <c r="I188" s="43">
        <f>720-800</f>
        <v>-80</v>
      </c>
      <c r="J188" s="73"/>
    </row>
    <row r="189" spans="1:10" s="21" customFormat="1" ht="49.5" x14ac:dyDescent="0.25">
      <c r="A189" s="7"/>
      <c r="B189" s="7"/>
      <c r="C189" s="7"/>
      <c r="D189" s="7"/>
      <c r="E189" s="27" t="s">
        <v>53</v>
      </c>
      <c r="F189" s="43">
        <f t="shared" si="56"/>
        <v>22820</v>
      </c>
      <c r="G189" s="43"/>
      <c r="H189" s="43">
        <v>22680</v>
      </c>
      <c r="I189" s="43">
        <f>940-800</f>
        <v>140</v>
      </c>
      <c r="J189" s="73"/>
    </row>
    <row r="190" spans="1:10" s="21" customFormat="1" ht="82.5" x14ac:dyDescent="0.25">
      <c r="A190" s="7"/>
      <c r="B190" s="7"/>
      <c r="C190" s="7"/>
      <c r="D190" s="7"/>
      <c r="E190" s="27" t="s">
        <v>82</v>
      </c>
      <c r="F190" s="84">
        <f t="shared" si="56"/>
        <v>23350</v>
      </c>
      <c r="G190" s="43"/>
      <c r="H190" s="43">
        <v>23440</v>
      </c>
      <c r="I190" s="43">
        <f>510-600</f>
        <v>-90</v>
      </c>
      <c r="J190" s="73"/>
    </row>
    <row r="191" spans="1:10" s="21" customFormat="1" ht="49.5" x14ac:dyDescent="0.25">
      <c r="A191" s="7"/>
      <c r="B191" s="7"/>
      <c r="C191" s="7"/>
      <c r="D191" s="7"/>
      <c r="E191" s="27" t="s">
        <v>54</v>
      </c>
      <c r="F191" s="43">
        <f t="shared" si="56"/>
        <v>15630</v>
      </c>
      <c r="G191" s="43"/>
      <c r="H191" s="43">
        <v>15740</v>
      </c>
      <c r="I191" s="43">
        <f>690-800</f>
        <v>-110</v>
      </c>
      <c r="J191" s="73"/>
    </row>
    <row r="192" spans="1:10" s="21" customFormat="1" ht="66" x14ac:dyDescent="0.25">
      <c r="A192" s="7"/>
      <c r="B192" s="7"/>
      <c r="C192" s="7"/>
      <c r="D192" s="7"/>
      <c r="E192" s="27" t="s">
        <v>55</v>
      </c>
      <c r="F192" s="84">
        <f t="shared" si="56"/>
        <v>25030</v>
      </c>
      <c r="G192" s="43"/>
      <c r="H192" s="43">
        <v>25120</v>
      </c>
      <c r="I192" s="43">
        <f>510-600</f>
        <v>-90</v>
      </c>
      <c r="J192" s="73"/>
    </row>
    <row r="193" spans="1:10" s="21" customFormat="1" ht="49.5" x14ac:dyDescent="0.25">
      <c r="A193" s="7"/>
      <c r="B193" s="7"/>
      <c r="C193" s="7"/>
      <c r="D193" s="7"/>
      <c r="E193" s="27" t="s">
        <v>56</v>
      </c>
      <c r="F193" s="43">
        <f t="shared" si="56"/>
        <v>59800</v>
      </c>
      <c r="G193" s="43"/>
      <c r="H193" s="43">
        <v>59860</v>
      </c>
      <c r="I193" s="43">
        <f>1140-1200</f>
        <v>-60</v>
      </c>
      <c r="J193" s="73"/>
    </row>
    <row r="194" spans="1:10" s="21" customFormat="1" ht="49.5" x14ac:dyDescent="0.25">
      <c r="A194" s="7"/>
      <c r="B194" s="7"/>
      <c r="C194" s="7"/>
      <c r="D194" s="7"/>
      <c r="E194" s="27" t="s">
        <v>126</v>
      </c>
      <c r="F194" s="43">
        <f t="shared" si="56"/>
        <v>7560</v>
      </c>
      <c r="G194" s="43"/>
      <c r="H194" s="43">
        <v>7560</v>
      </c>
      <c r="I194" s="43"/>
      <c r="J194" s="73"/>
    </row>
    <row r="195" spans="1:10" s="21" customFormat="1" ht="33" x14ac:dyDescent="0.25">
      <c r="A195" s="7"/>
      <c r="B195" s="7"/>
      <c r="C195" s="7"/>
      <c r="D195" s="7"/>
      <c r="E195" s="27" t="s">
        <v>124</v>
      </c>
      <c r="F195" s="43">
        <f>SUM(F196+F199+F200+F201+F202+F203+F204+F205+F206)</f>
        <v>2300</v>
      </c>
      <c r="G195" s="43">
        <f t="shared" ref="G195:J195" si="57">SUM(G196+G199+G200+G201+G202+G203+G204+G205+G206)</f>
        <v>0</v>
      </c>
      <c r="H195" s="43">
        <f t="shared" si="57"/>
        <v>2300</v>
      </c>
      <c r="I195" s="43">
        <f t="shared" si="57"/>
        <v>0</v>
      </c>
      <c r="J195" s="28">
        <f t="shared" si="57"/>
        <v>0</v>
      </c>
    </row>
    <row r="196" spans="1:10" s="21" customFormat="1" ht="33" x14ac:dyDescent="0.25">
      <c r="A196" s="7"/>
      <c r="B196" s="7"/>
      <c r="C196" s="7"/>
      <c r="D196" s="7"/>
      <c r="E196" s="27" t="s">
        <v>48</v>
      </c>
      <c r="F196" s="43">
        <f>F197+F198</f>
        <v>70</v>
      </c>
      <c r="G196" s="43">
        <f>G197+G198</f>
        <v>0</v>
      </c>
      <c r="H196" s="43">
        <f t="shared" ref="H196:J196" si="58">H197+H198</f>
        <v>70</v>
      </c>
      <c r="I196" s="43">
        <f t="shared" si="58"/>
        <v>0</v>
      </c>
      <c r="J196" s="28">
        <f t="shared" si="58"/>
        <v>0</v>
      </c>
    </row>
    <row r="197" spans="1:10" s="10" customFormat="1" ht="33" x14ac:dyDescent="0.25">
      <c r="A197" s="8"/>
      <c r="B197" s="8"/>
      <c r="C197" s="8"/>
      <c r="D197" s="24"/>
      <c r="E197" s="33" t="s">
        <v>49</v>
      </c>
      <c r="F197" s="5">
        <f t="shared" ref="F197:F206" si="59">SUM(G197:I197)</f>
        <v>20</v>
      </c>
      <c r="G197" s="85"/>
      <c r="H197" s="85">
        <v>20</v>
      </c>
      <c r="I197" s="85"/>
      <c r="J197" s="72"/>
    </row>
    <row r="198" spans="1:10" s="10" customFormat="1" ht="33" x14ac:dyDescent="0.25">
      <c r="A198" s="8"/>
      <c r="B198" s="8"/>
      <c r="C198" s="8"/>
      <c r="D198" s="24"/>
      <c r="E198" s="33" t="s">
        <v>50</v>
      </c>
      <c r="F198" s="5">
        <f t="shared" si="59"/>
        <v>50</v>
      </c>
      <c r="G198" s="85"/>
      <c r="H198" s="85">
        <v>50</v>
      </c>
      <c r="I198" s="85"/>
      <c r="J198" s="72"/>
    </row>
    <row r="199" spans="1:10" s="21" customFormat="1" ht="66" x14ac:dyDescent="0.25">
      <c r="A199" s="7"/>
      <c r="B199" s="7"/>
      <c r="C199" s="7"/>
      <c r="D199" s="7"/>
      <c r="E199" s="27" t="s">
        <v>51</v>
      </c>
      <c r="F199" s="84">
        <f t="shared" si="59"/>
        <v>100</v>
      </c>
      <c r="G199" s="43"/>
      <c r="H199" s="43">
        <v>100</v>
      </c>
      <c r="I199" s="43"/>
      <c r="J199" s="73"/>
    </row>
    <row r="200" spans="1:10" s="21" customFormat="1" ht="49.5" x14ac:dyDescent="0.25">
      <c r="A200" s="7"/>
      <c r="B200" s="7"/>
      <c r="C200" s="7"/>
      <c r="D200" s="7"/>
      <c r="E200" s="27" t="s">
        <v>52</v>
      </c>
      <c r="F200" s="43">
        <f t="shared" si="59"/>
        <v>570</v>
      </c>
      <c r="G200" s="43"/>
      <c r="H200" s="43">
        <v>570</v>
      </c>
      <c r="I200" s="43"/>
      <c r="J200" s="73"/>
    </row>
    <row r="201" spans="1:10" s="21" customFormat="1" ht="49.5" x14ac:dyDescent="0.25">
      <c r="A201" s="7"/>
      <c r="B201" s="7"/>
      <c r="C201" s="7"/>
      <c r="D201" s="7"/>
      <c r="E201" s="27" t="s">
        <v>53</v>
      </c>
      <c r="F201" s="43">
        <f t="shared" si="59"/>
        <v>230</v>
      </c>
      <c r="G201" s="43"/>
      <c r="H201" s="43">
        <v>230</v>
      </c>
      <c r="I201" s="43"/>
      <c r="J201" s="73"/>
    </row>
    <row r="202" spans="1:10" s="21" customFormat="1" ht="82.5" x14ac:dyDescent="0.25">
      <c r="A202" s="7"/>
      <c r="B202" s="7"/>
      <c r="C202" s="7"/>
      <c r="D202" s="7"/>
      <c r="E202" s="27" t="s">
        <v>82</v>
      </c>
      <c r="F202" s="84">
        <f t="shared" si="59"/>
        <v>240</v>
      </c>
      <c r="G202" s="43"/>
      <c r="H202" s="43">
        <v>240</v>
      </c>
      <c r="I202" s="43"/>
      <c r="J202" s="73"/>
    </row>
    <row r="203" spans="1:10" s="21" customFormat="1" ht="49.5" x14ac:dyDescent="0.25">
      <c r="A203" s="7"/>
      <c r="B203" s="7"/>
      <c r="C203" s="7"/>
      <c r="D203" s="7"/>
      <c r="E203" s="27" t="s">
        <v>54</v>
      </c>
      <c r="F203" s="43">
        <f t="shared" si="59"/>
        <v>160</v>
      </c>
      <c r="G203" s="43"/>
      <c r="H203" s="43">
        <v>160</v>
      </c>
      <c r="I203" s="43"/>
      <c r="J203" s="73"/>
    </row>
    <row r="204" spans="1:10" s="21" customFormat="1" ht="66" x14ac:dyDescent="0.25">
      <c r="A204" s="7"/>
      <c r="B204" s="7"/>
      <c r="C204" s="7"/>
      <c r="D204" s="7"/>
      <c r="E204" s="27" t="s">
        <v>55</v>
      </c>
      <c r="F204" s="84">
        <f t="shared" si="59"/>
        <v>250</v>
      </c>
      <c r="G204" s="43"/>
      <c r="H204" s="43">
        <v>250</v>
      </c>
      <c r="I204" s="43"/>
      <c r="J204" s="73"/>
    </row>
    <row r="205" spans="1:10" s="21" customFormat="1" ht="49.5" x14ac:dyDescent="0.25">
      <c r="A205" s="7"/>
      <c r="B205" s="7"/>
      <c r="C205" s="7"/>
      <c r="D205" s="7"/>
      <c r="E205" s="27" t="s">
        <v>56</v>
      </c>
      <c r="F205" s="43">
        <f t="shared" si="59"/>
        <v>600</v>
      </c>
      <c r="G205" s="43"/>
      <c r="H205" s="43">
        <v>600</v>
      </c>
      <c r="I205" s="43"/>
      <c r="J205" s="73"/>
    </row>
    <row r="206" spans="1:10" s="21" customFormat="1" ht="49.5" x14ac:dyDescent="0.25">
      <c r="A206" s="7"/>
      <c r="B206" s="7"/>
      <c r="C206" s="7"/>
      <c r="D206" s="7"/>
      <c r="E206" s="27" t="s">
        <v>126</v>
      </c>
      <c r="F206" s="43">
        <f t="shared" si="59"/>
        <v>80</v>
      </c>
      <c r="G206" s="43"/>
      <c r="H206" s="43">
        <v>80</v>
      </c>
      <c r="I206" s="43"/>
      <c r="J206" s="73"/>
    </row>
    <row r="207" spans="1:10" s="21" customFormat="1" ht="33" x14ac:dyDescent="0.25">
      <c r="A207" s="7"/>
      <c r="B207" s="7"/>
      <c r="C207" s="7"/>
      <c r="D207" s="7"/>
      <c r="E207" s="27" t="s">
        <v>125</v>
      </c>
      <c r="F207" s="43">
        <f>SUM(F208+F211+F212+F213+F214+F215+F216+F217+F218)</f>
        <v>2310</v>
      </c>
      <c r="G207" s="43">
        <f t="shared" ref="G207:J207" si="60">SUM(G208+G211+G212+G213+G214+G215+G216+G217+G218)</f>
        <v>0</v>
      </c>
      <c r="H207" s="43">
        <f>SUM(H208+H211+H212+H213+H214+H215+H216+H217+H218)</f>
        <v>2310</v>
      </c>
      <c r="I207" s="43">
        <f t="shared" si="60"/>
        <v>0</v>
      </c>
      <c r="J207" s="28">
        <f t="shared" si="60"/>
        <v>0</v>
      </c>
    </row>
    <row r="208" spans="1:10" s="21" customFormat="1" ht="33" x14ac:dyDescent="0.25">
      <c r="A208" s="7"/>
      <c r="B208" s="7"/>
      <c r="C208" s="7"/>
      <c r="D208" s="7"/>
      <c r="E208" s="27" t="s">
        <v>48</v>
      </c>
      <c r="F208" s="43">
        <f>F209+F210</f>
        <v>430</v>
      </c>
      <c r="G208" s="43">
        <f>G209+G210</f>
        <v>0</v>
      </c>
      <c r="H208" s="43">
        <f t="shared" ref="H208:J208" si="61">H209+H210</f>
        <v>430</v>
      </c>
      <c r="I208" s="43">
        <f t="shared" si="61"/>
        <v>0</v>
      </c>
      <c r="J208" s="28">
        <f t="shared" si="61"/>
        <v>0</v>
      </c>
    </row>
    <row r="209" spans="1:10" s="10" customFormat="1" ht="33" x14ac:dyDescent="0.25">
      <c r="A209" s="8"/>
      <c r="B209" s="8"/>
      <c r="C209" s="8"/>
      <c r="D209" s="24"/>
      <c r="E209" s="33" t="s">
        <v>49</v>
      </c>
      <c r="F209" s="5">
        <f t="shared" ref="F209:F218" si="62">SUM(G209:I209)</f>
        <v>270</v>
      </c>
      <c r="G209" s="85"/>
      <c r="H209" s="85">
        <v>270</v>
      </c>
      <c r="I209" s="85"/>
      <c r="J209" s="72"/>
    </row>
    <row r="210" spans="1:10" s="10" customFormat="1" ht="33" x14ac:dyDescent="0.25">
      <c r="A210" s="8"/>
      <c r="B210" s="8"/>
      <c r="C210" s="8"/>
      <c r="D210" s="24"/>
      <c r="E210" s="33" t="s">
        <v>50</v>
      </c>
      <c r="F210" s="5">
        <f t="shared" si="62"/>
        <v>160</v>
      </c>
      <c r="G210" s="85"/>
      <c r="H210" s="85">
        <v>160</v>
      </c>
      <c r="I210" s="85"/>
      <c r="J210" s="72"/>
    </row>
    <row r="211" spans="1:10" s="21" customFormat="1" ht="66" x14ac:dyDescent="0.25">
      <c r="A211" s="7"/>
      <c r="B211" s="7"/>
      <c r="C211" s="7"/>
      <c r="D211" s="7"/>
      <c r="E211" s="27" t="s">
        <v>51</v>
      </c>
      <c r="F211" s="84">
        <f t="shared" si="62"/>
        <v>600</v>
      </c>
      <c r="G211" s="43"/>
      <c r="H211" s="43">
        <v>600</v>
      </c>
      <c r="I211" s="43"/>
      <c r="J211" s="73"/>
    </row>
    <row r="212" spans="1:10" s="21" customFormat="1" ht="49.5" x14ac:dyDescent="0.25">
      <c r="A212" s="7"/>
      <c r="B212" s="7"/>
      <c r="C212" s="7"/>
      <c r="D212" s="7"/>
      <c r="E212" s="27" t="s">
        <v>52</v>
      </c>
      <c r="F212" s="43">
        <f t="shared" si="62"/>
        <v>340</v>
      </c>
      <c r="G212" s="43"/>
      <c r="H212" s="43">
        <v>340</v>
      </c>
      <c r="I212" s="43"/>
      <c r="J212" s="73"/>
    </row>
    <row r="213" spans="1:10" s="21" customFormat="1" ht="49.5" x14ac:dyDescent="0.25">
      <c r="A213" s="7"/>
      <c r="B213" s="7"/>
      <c r="C213" s="7"/>
      <c r="D213" s="7"/>
      <c r="E213" s="27" t="s">
        <v>53</v>
      </c>
      <c r="F213" s="43">
        <f t="shared" si="62"/>
        <v>140</v>
      </c>
      <c r="G213" s="43"/>
      <c r="H213" s="43">
        <v>140</v>
      </c>
      <c r="I213" s="43"/>
      <c r="J213" s="73"/>
    </row>
    <row r="214" spans="1:10" s="21" customFormat="1" ht="82.5" x14ac:dyDescent="0.25">
      <c r="A214" s="7"/>
      <c r="B214" s="7"/>
      <c r="C214" s="7"/>
      <c r="D214" s="7"/>
      <c r="E214" s="27" t="s">
        <v>82</v>
      </c>
      <c r="F214" s="84">
        <f t="shared" si="62"/>
        <v>140</v>
      </c>
      <c r="G214" s="43"/>
      <c r="H214" s="43">
        <v>140</v>
      </c>
      <c r="I214" s="43"/>
      <c r="J214" s="73"/>
    </row>
    <row r="215" spans="1:10" s="21" customFormat="1" ht="49.5" x14ac:dyDescent="0.25">
      <c r="A215" s="7"/>
      <c r="B215" s="7"/>
      <c r="C215" s="7"/>
      <c r="D215" s="7"/>
      <c r="E215" s="27" t="s">
        <v>54</v>
      </c>
      <c r="F215" s="43">
        <f t="shared" si="62"/>
        <v>100</v>
      </c>
      <c r="G215" s="43"/>
      <c r="H215" s="43">
        <v>100</v>
      </c>
      <c r="I215" s="43"/>
      <c r="J215" s="73"/>
    </row>
    <row r="216" spans="1:10" s="21" customFormat="1" ht="66" x14ac:dyDescent="0.25">
      <c r="A216" s="7"/>
      <c r="B216" s="7"/>
      <c r="C216" s="7"/>
      <c r="D216" s="7"/>
      <c r="E216" s="27" t="s">
        <v>55</v>
      </c>
      <c r="F216" s="84">
        <f t="shared" si="62"/>
        <v>150</v>
      </c>
      <c r="G216" s="43"/>
      <c r="H216" s="43">
        <v>150</v>
      </c>
      <c r="I216" s="43"/>
      <c r="J216" s="73"/>
    </row>
    <row r="217" spans="1:10" s="21" customFormat="1" ht="49.5" x14ac:dyDescent="0.25">
      <c r="A217" s="7"/>
      <c r="B217" s="7"/>
      <c r="C217" s="7"/>
      <c r="D217" s="7"/>
      <c r="E217" s="27" t="s">
        <v>56</v>
      </c>
      <c r="F217" s="43">
        <f t="shared" si="62"/>
        <v>360</v>
      </c>
      <c r="G217" s="43"/>
      <c r="H217" s="43">
        <v>360</v>
      </c>
      <c r="I217" s="43"/>
      <c r="J217" s="73"/>
    </row>
    <row r="218" spans="1:10" s="21" customFormat="1" ht="49.5" x14ac:dyDescent="0.25">
      <c r="A218" s="7"/>
      <c r="B218" s="7"/>
      <c r="C218" s="7"/>
      <c r="D218" s="7"/>
      <c r="E218" s="27" t="s">
        <v>126</v>
      </c>
      <c r="F218" s="43">
        <f t="shared" si="62"/>
        <v>50</v>
      </c>
      <c r="G218" s="43"/>
      <c r="H218" s="43">
        <v>50</v>
      </c>
      <c r="I218" s="43"/>
      <c r="J218" s="73"/>
    </row>
    <row r="219" spans="1:10" s="21" customFormat="1" ht="66" x14ac:dyDescent="0.25">
      <c r="A219" s="7"/>
      <c r="B219" s="7"/>
      <c r="C219" s="7"/>
      <c r="D219" s="7"/>
      <c r="E219" s="51" t="s">
        <v>153</v>
      </c>
      <c r="F219" s="43">
        <f>SUM(F220+F222+F224+F226)</f>
        <v>32520</v>
      </c>
      <c r="G219" s="43">
        <f t="shared" ref="G219:J219" si="63">SUM(G220+G222+G224+G226)</f>
        <v>0</v>
      </c>
      <c r="H219" s="43">
        <f t="shared" si="63"/>
        <v>0</v>
      </c>
      <c r="I219" s="43">
        <f t="shared" si="63"/>
        <v>32520</v>
      </c>
      <c r="J219" s="28">
        <f t="shared" si="63"/>
        <v>0</v>
      </c>
    </row>
    <row r="220" spans="1:10" s="21" customFormat="1" ht="16.5" x14ac:dyDescent="0.25">
      <c r="A220" s="7"/>
      <c r="B220" s="7"/>
      <c r="C220" s="7"/>
      <c r="D220" s="7"/>
      <c r="E220" s="34" t="s">
        <v>146</v>
      </c>
      <c r="F220" s="43">
        <f>SUM(F221)</f>
        <v>1900</v>
      </c>
      <c r="G220" s="43">
        <f t="shared" ref="G220:J220" si="64">SUM(G221)</f>
        <v>0</v>
      </c>
      <c r="H220" s="43">
        <f t="shared" si="64"/>
        <v>0</v>
      </c>
      <c r="I220" s="43">
        <f t="shared" si="64"/>
        <v>1900</v>
      </c>
      <c r="J220" s="28">
        <f t="shared" si="64"/>
        <v>0</v>
      </c>
    </row>
    <row r="221" spans="1:10" s="21" customFormat="1" ht="16.5" x14ac:dyDescent="0.25">
      <c r="A221" s="7"/>
      <c r="B221" s="7"/>
      <c r="C221" s="7"/>
      <c r="D221" s="7"/>
      <c r="E221" s="52" t="s">
        <v>147</v>
      </c>
      <c r="F221" s="5">
        <v>1900</v>
      </c>
      <c r="G221" s="5">
        <v>0</v>
      </c>
      <c r="H221" s="5">
        <v>0</v>
      </c>
      <c r="I221" s="5">
        <v>1900</v>
      </c>
      <c r="J221" s="73"/>
    </row>
    <row r="222" spans="1:10" s="21" customFormat="1" ht="33" x14ac:dyDescent="0.25">
      <c r="A222" s="7"/>
      <c r="B222" s="7"/>
      <c r="C222" s="7"/>
      <c r="D222" s="7"/>
      <c r="E222" s="34" t="s">
        <v>148</v>
      </c>
      <c r="F222" s="43">
        <f>SUM(F223)</f>
        <v>500</v>
      </c>
      <c r="G222" s="43">
        <f t="shared" ref="G222:J222" si="65">SUM(G223)</f>
        <v>0</v>
      </c>
      <c r="H222" s="43">
        <f t="shared" si="65"/>
        <v>0</v>
      </c>
      <c r="I222" s="43">
        <f t="shared" si="65"/>
        <v>500</v>
      </c>
      <c r="J222" s="28">
        <f t="shared" si="65"/>
        <v>0</v>
      </c>
    </row>
    <row r="223" spans="1:10" s="21" customFormat="1" ht="16.5" x14ac:dyDescent="0.25">
      <c r="A223" s="7"/>
      <c r="B223" s="7"/>
      <c r="C223" s="7"/>
      <c r="D223" s="7"/>
      <c r="E223" s="53" t="s">
        <v>149</v>
      </c>
      <c r="F223" s="5">
        <f>SUM(G223:I223)</f>
        <v>500</v>
      </c>
      <c r="G223" s="43"/>
      <c r="H223" s="43"/>
      <c r="I223" s="5">
        <v>500</v>
      </c>
      <c r="J223" s="73"/>
    </row>
    <row r="224" spans="1:10" s="21" customFormat="1" ht="16.5" x14ac:dyDescent="0.25">
      <c r="A224" s="7"/>
      <c r="B224" s="7"/>
      <c r="C224" s="7"/>
      <c r="D224" s="7"/>
      <c r="E224" s="54" t="s">
        <v>150</v>
      </c>
      <c r="F224" s="43">
        <f>SUM(F225)</f>
        <v>120</v>
      </c>
      <c r="G224" s="43">
        <f t="shared" ref="G224:J224" si="66">SUM(G225)</f>
        <v>0</v>
      </c>
      <c r="H224" s="43">
        <f t="shared" si="66"/>
        <v>0</v>
      </c>
      <c r="I224" s="43">
        <f t="shared" si="66"/>
        <v>120</v>
      </c>
      <c r="J224" s="28">
        <f t="shared" si="66"/>
        <v>0</v>
      </c>
    </row>
    <row r="225" spans="1:10" s="21" customFormat="1" ht="16.5" x14ac:dyDescent="0.25">
      <c r="A225" s="7"/>
      <c r="B225" s="7"/>
      <c r="C225" s="7"/>
      <c r="D225" s="7"/>
      <c r="E225" s="55" t="s">
        <v>151</v>
      </c>
      <c r="F225" s="5">
        <f>SUM(G225:I225)</f>
        <v>120</v>
      </c>
      <c r="G225" s="5"/>
      <c r="H225" s="5"/>
      <c r="I225" s="5">
        <v>120</v>
      </c>
      <c r="J225" s="73"/>
    </row>
    <row r="226" spans="1:10" s="21" customFormat="1" ht="199.5" x14ac:dyDescent="0.25">
      <c r="A226" s="7"/>
      <c r="B226" s="7"/>
      <c r="C226" s="7"/>
      <c r="D226" s="7"/>
      <c r="E226" s="56" t="s">
        <v>152</v>
      </c>
      <c r="F226" s="43">
        <v>30000</v>
      </c>
      <c r="G226" s="43"/>
      <c r="H226" s="43"/>
      <c r="I226" s="43">
        <v>30000</v>
      </c>
      <c r="J226" s="73"/>
    </row>
    <row r="227" spans="1:10" s="10" customFormat="1" ht="16.5" x14ac:dyDescent="0.25">
      <c r="A227" s="7"/>
      <c r="B227" s="7"/>
      <c r="C227" s="7"/>
      <c r="D227" s="8"/>
      <c r="E227" s="20" t="s">
        <v>58</v>
      </c>
      <c r="F227" s="80">
        <f>SUM(F229)</f>
        <v>-5880335.2999999998</v>
      </c>
      <c r="G227" s="80">
        <f t="shared" ref="G227:I227" si="67">SUM(G229)</f>
        <v>0</v>
      </c>
      <c r="H227" s="80">
        <f t="shared" si="67"/>
        <v>-5880335.2999999998</v>
      </c>
      <c r="I227" s="80">
        <f t="shared" si="67"/>
        <v>0</v>
      </c>
      <c r="J227" s="72"/>
    </row>
    <row r="228" spans="1:10" s="21" customFormat="1" ht="16.5" x14ac:dyDescent="0.25">
      <c r="A228" s="7"/>
      <c r="B228" s="7"/>
      <c r="C228" s="7"/>
      <c r="D228" s="8"/>
      <c r="E228" s="22" t="s">
        <v>73</v>
      </c>
      <c r="F228" s="81"/>
      <c r="G228" s="81"/>
      <c r="H228" s="81"/>
      <c r="I228" s="81"/>
      <c r="J228" s="73"/>
    </row>
    <row r="229" spans="1:10" s="10" customFormat="1" ht="49.5" x14ac:dyDescent="0.25">
      <c r="A229" s="7" t="s">
        <v>10</v>
      </c>
      <c r="B229" s="7" t="s">
        <v>11</v>
      </c>
      <c r="C229" s="7" t="s">
        <v>12</v>
      </c>
      <c r="D229" s="24" t="s">
        <v>12</v>
      </c>
      <c r="E229" s="25" t="s">
        <v>59</v>
      </c>
      <c r="F229" s="81">
        <f>SUM(G229:I229)</f>
        <v>-5880335.2999999998</v>
      </c>
      <c r="G229" s="81"/>
      <c r="H229" s="81">
        <v>-5880335.2999999998</v>
      </c>
      <c r="I229" s="81"/>
      <c r="J229" s="72"/>
    </row>
  </sheetData>
  <mergeCells count="14">
    <mergeCell ref="E5:I5"/>
    <mergeCell ref="F1:I1"/>
    <mergeCell ref="F2:I2"/>
    <mergeCell ref="F3:I3"/>
    <mergeCell ref="A8:C10"/>
    <mergeCell ref="D8:D11"/>
    <mergeCell ref="E8:E11"/>
    <mergeCell ref="H10:H11"/>
    <mergeCell ref="I10:I11"/>
    <mergeCell ref="F9:F11"/>
    <mergeCell ref="G10:G11"/>
    <mergeCell ref="F8:J8"/>
    <mergeCell ref="G9:J9"/>
    <mergeCell ref="J10:J11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BreakPreview" zoomScale="110" zoomScaleNormal="100" zoomScaleSheetLayoutView="110" workbookViewId="0">
      <selection activeCell="E14" sqref="E14"/>
    </sheetView>
  </sheetViews>
  <sheetFormatPr defaultRowHeight="16.5" x14ac:dyDescent="0.25"/>
  <cols>
    <col min="1" max="1" width="5.7109375" style="1" customWidth="1"/>
    <col min="2" max="3" width="7" style="1" customWidth="1"/>
    <col min="4" max="4" width="6.42578125" style="1" customWidth="1"/>
    <col min="5" max="5" width="51.5703125" style="1" customWidth="1"/>
    <col min="6" max="6" width="14.42578125" style="89" customWidth="1"/>
    <col min="7" max="7" width="15" style="89" customWidth="1"/>
    <col min="8" max="8" width="14.42578125" style="89" customWidth="1"/>
    <col min="9" max="9" width="16.85546875" style="89" customWidth="1"/>
    <col min="10" max="10" width="9.140625" style="1"/>
    <col min="11" max="11" width="15.28515625" style="1" customWidth="1"/>
    <col min="12" max="259" width="9.140625" style="1"/>
    <col min="260" max="260" width="5.7109375" style="1" customWidth="1"/>
    <col min="261" max="261" width="7" style="1" customWidth="1"/>
    <col min="262" max="262" width="6.42578125" style="1" customWidth="1"/>
    <col min="263" max="263" width="43.5703125" style="1" customWidth="1"/>
    <col min="264" max="264" width="18.5703125" style="1" customWidth="1"/>
    <col min="265" max="515" width="9.140625" style="1"/>
    <col min="516" max="516" width="5.7109375" style="1" customWidth="1"/>
    <col min="517" max="517" width="7" style="1" customWidth="1"/>
    <col min="518" max="518" width="6.42578125" style="1" customWidth="1"/>
    <col min="519" max="519" width="43.5703125" style="1" customWidth="1"/>
    <col min="520" max="520" width="18.5703125" style="1" customWidth="1"/>
    <col min="521" max="771" width="9.140625" style="1"/>
    <col min="772" max="772" width="5.7109375" style="1" customWidth="1"/>
    <col min="773" max="773" width="7" style="1" customWidth="1"/>
    <col min="774" max="774" width="6.42578125" style="1" customWidth="1"/>
    <col min="775" max="775" width="43.5703125" style="1" customWidth="1"/>
    <col min="776" max="776" width="18.5703125" style="1" customWidth="1"/>
    <col min="777" max="1027" width="9.140625" style="1"/>
    <col min="1028" max="1028" width="5.7109375" style="1" customWidth="1"/>
    <col min="1029" max="1029" width="7" style="1" customWidth="1"/>
    <col min="1030" max="1030" width="6.42578125" style="1" customWidth="1"/>
    <col min="1031" max="1031" width="43.5703125" style="1" customWidth="1"/>
    <col min="1032" max="1032" width="18.5703125" style="1" customWidth="1"/>
    <col min="1033" max="1283" width="9.140625" style="1"/>
    <col min="1284" max="1284" width="5.7109375" style="1" customWidth="1"/>
    <col min="1285" max="1285" width="7" style="1" customWidth="1"/>
    <col min="1286" max="1286" width="6.42578125" style="1" customWidth="1"/>
    <col min="1287" max="1287" width="43.5703125" style="1" customWidth="1"/>
    <col min="1288" max="1288" width="18.5703125" style="1" customWidth="1"/>
    <col min="1289" max="1539" width="9.140625" style="1"/>
    <col min="1540" max="1540" width="5.7109375" style="1" customWidth="1"/>
    <col min="1541" max="1541" width="7" style="1" customWidth="1"/>
    <col min="1542" max="1542" width="6.42578125" style="1" customWidth="1"/>
    <col min="1543" max="1543" width="43.5703125" style="1" customWidth="1"/>
    <col min="1544" max="1544" width="18.5703125" style="1" customWidth="1"/>
    <col min="1545" max="1795" width="9.140625" style="1"/>
    <col min="1796" max="1796" width="5.7109375" style="1" customWidth="1"/>
    <col min="1797" max="1797" width="7" style="1" customWidth="1"/>
    <col min="1798" max="1798" width="6.42578125" style="1" customWidth="1"/>
    <col min="1799" max="1799" width="43.5703125" style="1" customWidth="1"/>
    <col min="1800" max="1800" width="18.5703125" style="1" customWidth="1"/>
    <col min="1801" max="2051" width="9.140625" style="1"/>
    <col min="2052" max="2052" width="5.7109375" style="1" customWidth="1"/>
    <col min="2053" max="2053" width="7" style="1" customWidth="1"/>
    <col min="2054" max="2054" width="6.42578125" style="1" customWidth="1"/>
    <col min="2055" max="2055" width="43.5703125" style="1" customWidth="1"/>
    <col min="2056" max="2056" width="18.5703125" style="1" customWidth="1"/>
    <col min="2057" max="2307" width="9.140625" style="1"/>
    <col min="2308" max="2308" width="5.7109375" style="1" customWidth="1"/>
    <col min="2309" max="2309" width="7" style="1" customWidth="1"/>
    <col min="2310" max="2310" width="6.42578125" style="1" customWidth="1"/>
    <col min="2311" max="2311" width="43.5703125" style="1" customWidth="1"/>
    <col min="2312" max="2312" width="18.5703125" style="1" customWidth="1"/>
    <col min="2313" max="2563" width="9.140625" style="1"/>
    <col min="2564" max="2564" width="5.7109375" style="1" customWidth="1"/>
    <col min="2565" max="2565" width="7" style="1" customWidth="1"/>
    <col min="2566" max="2566" width="6.42578125" style="1" customWidth="1"/>
    <col min="2567" max="2567" width="43.5703125" style="1" customWidth="1"/>
    <col min="2568" max="2568" width="18.5703125" style="1" customWidth="1"/>
    <col min="2569" max="2819" width="9.140625" style="1"/>
    <col min="2820" max="2820" width="5.7109375" style="1" customWidth="1"/>
    <col min="2821" max="2821" width="7" style="1" customWidth="1"/>
    <col min="2822" max="2822" width="6.42578125" style="1" customWidth="1"/>
    <col min="2823" max="2823" width="43.5703125" style="1" customWidth="1"/>
    <col min="2824" max="2824" width="18.5703125" style="1" customWidth="1"/>
    <col min="2825" max="3075" width="9.140625" style="1"/>
    <col min="3076" max="3076" width="5.7109375" style="1" customWidth="1"/>
    <col min="3077" max="3077" width="7" style="1" customWidth="1"/>
    <col min="3078" max="3078" width="6.42578125" style="1" customWidth="1"/>
    <col min="3079" max="3079" width="43.5703125" style="1" customWidth="1"/>
    <col min="3080" max="3080" width="18.5703125" style="1" customWidth="1"/>
    <col min="3081" max="3331" width="9.140625" style="1"/>
    <col min="3332" max="3332" width="5.7109375" style="1" customWidth="1"/>
    <col min="3333" max="3333" width="7" style="1" customWidth="1"/>
    <col min="3334" max="3334" width="6.42578125" style="1" customWidth="1"/>
    <col min="3335" max="3335" width="43.5703125" style="1" customWidth="1"/>
    <col min="3336" max="3336" width="18.5703125" style="1" customWidth="1"/>
    <col min="3337" max="3587" width="9.140625" style="1"/>
    <col min="3588" max="3588" width="5.7109375" style="1" customWidth="1"/>
    <col min="3589" max="3589" width="7" style="1" customWidth="1"/>
    <col min="3590" max="3590" width="6.42578125" style="1" customWidth="1"/>
    <col min="3591" max="3591" width="43.5703125" style="1" customWidth="1"/>
    <col min="3592" max="3592" width="18.5703125" style="1" customWidth="1"/>
    <col min="3593" max="3843" width="9.140625" style="1"/>
    <col min="3844" max="3844" width="5.7109375" style="1" customWidth="1"/>
    <col min="3845" max="3845" width="7" style="1" customWidth="1"/>
    <col min="3846" max="3846" width="6.42578125" style="1" customWidth="1"/>
    <col min="3847" max="3847" width="43.5703125" style="1" customWidth="1"/>
    <col min="3848" max="3848" width="18.5703125" style="1" customWidth="1"/>
    <col min="3849" max="4099" width="9.140625" style="1"/>
    <col min="4100" max="4100" width="5.7109375" style="1" customWidth="1"/>
    <col min="4101" max="4101" width="7" style="1" customWidth="1"/>
    <col min="4102" max="4102" width="6.42578125" style="1" customWidth="1"/>
    <col min="4103" max="4103" width="43.5703125" style="1" customWidth="1"/>
    <col min="4104" max="4104" width="18.5703125" style="1" customWidth="1"/>
    <col min="4105" max="4355" width="9.140625" style="1"/>
    <col min="4356" max="4356" width="5.7109375" style="1" customWidth="1"/>
    <col min="4357" max="4357" width="7" style="1" customWidth="1"/>
    <col min="4358" max="4358" width="6.42578125" style="1" customWidth="1"/>
    <col min="4359" max="4359" width="43.5703125" style="1" customWidth="1"/>
    <col min="4360" max="4360" width="18.5703125" style="1" customWidth="1"/>
    <col min="4361" max="4611" width="9.140625" style="1"/>
    <col min="4612" max="4612" width="5.7109375" style="1" customWidth="1"/>
    <col min="4613" max="4613" width="7" style="1" customWidth="1"/>
    <col min="4614" max="4614" width="6.42578125" style="1" customWidth="1"/>
    <col min="4615" max="4615" width="43.5703125" style="1" customWidth="1"/>
    <col min="4616" max="4616" width="18.5703125" style="1" customWidth="1"/>
    <col min="4617" max="4867" width="9.140625" style="1"/>
    <col min="4868" max="4868" width="5.7109375" style="1" customWidth="1"/>
    <col min="4869" max="4869" width="7" style="1" customWidth="1"/>
    <col min="4870" max="4870" width="6.42578125" style="1" customWidth="1"/>
    <col min="4871" max="4871" width="43.5703125" style="1" customWidth="1"/>
    <col min="4872" max="4872" width="18.5703125" style="1" customWidth="1"/>
    <col min="4873" max="5123" width="9.140625" style="1"/>
    <col min="5124" max="5124" width="5.7109375" style="1" customWidth="1"/>
    <col min="5125" max="5125" width="7" style="1" customWidth="1"/>
    <col min="5126" max="5126" width="6.42578125" style="1" customWidth="1"/>
    <col min="5127" max="5127" width="43.5703125" style="1" customWidth="1"/>
    <col min="5128" max="5128" width="18.5703125" style="1" customWidth="1"/>
    <col min="5129" max="5379" width="9.140625" style="1"/>
    <col min="5380" max="5380" width="5.7109375" style="1" customWidth="1"/>
    <col min="5381" max="5381" width="7" style="1" customWidth="1"/>
    <col min="5382" max="5382" width="6.42578125" style="1" customWidth="1"/>
    <col min="5383" max="5383" width="43.5703125" style="1" customWidth="1"/>
    <col min="5384" max="5384" width="18.5703125" style="1" customWidth="1"/>
    <col min="5385" max="5635" width="9.140625" style="1"/>
    <col min="5636" max="5636" width="5.7109375" style="1" customWidth="1"/>
    <col min="5637" max="5637" width="7" style="1" customWidth="1"/>
    <col min="5638" max="5638" width="6.42578125" style="1" customWidth="1"/>
    <col min="5639" max="5639" width="43.5703125" style="1" customWidth="1"/>
    <col min="5640" max="5640" width="18.5703125" style="1" customWidth="1"/>
    <col min="5641" max="5891" width="9.140625" style="1"/>
    <col min="5892" max="5892" width="5.7109375" style="1" customWidth="1"/>
    <col min="5893" max="5893" width="7" style="1" customWidth="1"/>
    <col min="5894" max="5894" width="6.42578125" style="1" customWidth="1"/>
    <col min="5895" max="5895" width="43.5703125" style="1" customWidth="1"/>
    <col min="5896" max="5896" width="18.5703125" style="1" customWidth="1"/>
    <col min="5897" max="6147" width="9.140625" style="1"/>
    <col min="6148" max="6148" width="5.7109375" style="1" customWidth="1"/>
    <col min="6149" max="6149" width="7" style="1" customWidth="1"/>
    <col min="6150" max="6150" width="6.42578125" style="1" customWidth="1"/>
    <col min="6151" max="6151" width="43.5703125" style="1" customWidth="1"/>
    <col min="6152" max="6152" width="18.5703125" style="1" customWidth="1"/>
    <col min="6153" max="6403" width="9.140625" style="1"/>
    <col min="6404" max="6404" width="5.7109375" style="1" customWidth="1"/>
    <col min="6405" max="6405" width="7" style="1" customWidth="1"/>
    <col min="6406" max="6406" width="6.42578125" style="1" customWidth="1"/>
    <col min="6407" max="6407" width="43.5703125" style="1" customWidth="1"/>
    <col min="6408" max="6408" width="18.5703125" style="1" customWidth="1"/>
    <col min="6409" max="6659" width="9.140625" style="1"/>
    <col min="6660" max="6660" width="5.7109375" style="1" customWidth="1"/>
    <col min="6661" max="6661" width="7" style="1" customWidth="1"/>
    <col min="6662" max="6662" width="6.42578125" style="1" customWidth="1"/>
    <col min="6663" max="6663" width="43.5703125" style="1" customWidth="1"/>
    <col min="6664" max="6664" width="18.5703125" style="1" customWidth="1"/>
    <col min="6665" max="6915" width="9.140625" style="1"/>
    <col min="6916" max="6916" width="5.7109375" style="1" customWidth="1"/>
    <col min="6917" max="6917" width="7" style="1" customWidth="1"/>
    <col min="6918" max="6918" width="6.42578125" style="1" customWidth="1"/>
    <col min="6919" max="6919" width="43.5703125" style="1" customWidth="1"/>
    <col min="6920" max="6920" width="18.5703125" style="1" customWidth="1"/>
    <col min="6921" max="7171" width="9.140625" style="1"/>
    <col min="7172" max="7172" width="5.7109375" style="1" customWidth="1"/>
    <col min="7173" max="7173" width="7" style="1" customWidth="1"/>
    <col min="7174" max="7174" width="6.42578125" style="1" customWidth="1"/>
    <col min="7175" max="7175" width="43.5703125" style="1" customWidth="1"/>
    <col min="7176" max="7176" width="18.5703125" style="1" customWidth="1"/>
    <col min="7177" max="7427" width="9.140625" style="1"/>
    <col min="7428" max="7428" width="5.7109375" style="1" customWidth="1"/>
    <col min="7429" max="7429" width="7" style="1" customWidth="1"/>
    <col min="7430" max="7430" width="6.42578125" style="1" customWidth="1"/>
    <col min="7431" max="7431" width="43.5703125" style="1" customWidth="1"/>
    <col min="7432" max="7432" width="18.5703125" style="1" customWidth="1"/>
    <col min="7433" max="7683" width="9.140625" style="1"/>
    <col min="7684" max="7684" width="5.7109375" style="1" customWidth="1"/>
    <col min="7685" max="7685" width="7" style="1" customWidth="1"/>
    <col min="7686" max="7686" width="6.42578125" style="1" customWidth="1"/>
    <col min="7687" max="7687" width="43.5703125" style="1" customWidth="1"/>
    <col min="7688" max="7688" width="18.5703125" style="1" customWidth="1"/>
    <col min="7689" max="7939" width="9.140625" style="1"/>
    <col min="7940" max="7940" width="5.7109375" style="1" customWidth="1"/>
    <col min="7941" max="7941" width="7" style="1" customWidth="1"/>
    <col min="7942" max="7942" width="6.42578125" style="1" customWidth="1"/>
    <col min="7943" max="7943" width="43.5703125" style="1" customWidth="1"/>
    <col min="7944" max="7944" width="18.5703125" style="1" customWidth="1"/>
    <col min="7945" max="8195" width="9.140625" style="1"/>
    <col min="8196" max="8196" width="5.7109375" style="1" customWidth="1"/>
    <col min="8197" max="8197" width="7" style="1" customWidth="1"/>
    <col min="8198" max="8198" width="6.42578125" style="1" customWidth="1"/>
    <col min="8199" max="8199" width="43.5703125" style="1" customWidth="1"/>
    <col min="8200" max="8200" width="18.5703125" style="1" customWidth="1"/>
    <col min="8201" max="8451" width="9.140625" style="1"/>
    <col min="8452" max="8452" width="5.7109375" style="1" customWidth="1"/>
    <col min="8453" max="8453" width="7" style="1" customWidth="1"/>
    <col min="8454" max="8454" width="6.42578125" style="1" customWidth="1"/>
    <col min="8455" max="8455" width="43.5703125" style="1" customWidth="1"/>
    <col min="8456" max="8456" width="18.5703125" style="1" customWidth="1"/>
    <col min="8457" max="8707" width="9.140625" style="1"/>
    <col min="8708" max="8708" width="5.7109375" style="1" customWidth="1"/>
    <col min="8709" max="8709" width="7" style="1" customWidth="1"/>
    <col min="8710" max="8710" width="6.42578125" style="1" customWidth="1"/>
    <col min="8711" max="8711" width="43.5703125" style="1" customWidth="1"/>
    <col min="8712" max="8712" width="18.5703125" style="1" customWidth="1"/>
    <col min="8713" max="8963" width="9.140625" style="1"/>
    <col min="8964" max="8964" width="5.7109375" style="1" customWidth="1"/>
    <col min="8965" max="8965" width="7" style="1" customWidth="1"/>
    <col min="8966" max="8966" width="6.42578125" style="1" customWidth="1"/>
    <col min="8967" max="8967" width="43.5703125" style="1" customWidth="1"/>
    <col min="8968" max="8968" width="18.5703125" style="1" customWidth="1"/>
    <col min="8969" max="9219" width="9.140625" style="1"/>
    <col min="9220" max="9220" width="5.7109375" style="1" customWidth="1"/>
    <col min="9221" max="9221" width="7" style="1" customWidth="1"/>
    <col min="9222" max="9222" width="6.42578125" style="1" customWidth="1"/>
    <col min="9223" max="9223" width="43.5703125" style="1" customWidth="1"/>
    <col min="9224" max="9224" width="18.5703125" style="1" customWidth="1"/>
    <col min="9225" max="9475" width="9.140625" style="1"/>
    <col min="9476" max="9476" width="5.7109375" style="1" customWidth="1"/>
    <col min="9477" max="9477" width="7" style="1" customWidth="1"/>
    <col min="9478" max="9478" width="6.42578125" style="1" customWidth="1"/>
    <col min="9479" max="9479" width="43.5703125" style="1" customWidth="1"/>
    <col min="9480" max="9480" width="18.5703125" style="1" customWidth="1"/>
    <col min="9481" max="9731" width="9.140625" style="1"/>
    <col min="9732" max="9732" width="5.7109375" style="1" customWidth="1"/>
    <col min="9733" max="9733" width="7" style="1" customWidth="1"/>
    <col min="9734" max="9734" width="6.42578125" style="1" customWidth="1"/>
    <col min="9735" max="9735" width="43.5703125" style="1" customWidth="1"/>
    <col min="9736" max="9736" width="18.5703125" style="1" customWidth="1"/>
    <col min="9737" max="9987" width="9.140625" style="1"/>
    <col min="9988" max="9988" width="5.7109375" style="1" customWidth="1"/>
    <col min="9989" max="9989" width="7" style="1" customWidth="1"/>
    <col min="9990" max="9990" width="6.42578125" style="1" customWidth="1"/>
    <col min="9991" max="9991" width="43.5703125" style="1" customWidth="1"/>
    <col min="9992" max="9992" width="18.5703125" style="1" customWidth="1"/>
    <col min="9993" max="10243" width="9.140625" style="1"/>
    <col min="10244" max="10244" width="5.7109375" style="1" customWidth="1"/>
    <col min="10245" max="10245" width="7" style="1" customWidth="1"/>
    <col min="10246" max="10246" width="6.42578125" style="1" customWidth="1"/>
    <col min="10247" max="10247" width="43.5703125" style="1" customWidth="1"/>
    <col min="10248" max="10248" width="18.5703125" style="1" customWidth="1"/>
    <col min="10249" max="10499" width="9.140625" style="1"/>
    <col min="10500" max="10500" width="5.7109375" style="1" customWidth="1"/>
    <col min="10501" max="10501" width="7" style="1" customWidth="1"/>
    <col min="10502" max="10502" width="6.42578125" style="1" customWidth="1"/>
    <col min="10503" max="10503" width="43.5703125" style="1" customWidth="1"/>
    <col min="10504" max="10504" width="18.5703125" style="1" customWidth="1"/>
    <col min="10505" max="10755" width="9.140625" style="1"/>
    <col min="10756" max="10756" width="5.7109375" style="1" customWidth="1"/>
    <col min="10757" max="10757" width="7" style="1" customWidth="1"/>
    <col min="10758" max="10758" width="6.42578125" style="1" customWidth="1"/>
    <col min="10759" max="10759" width="43.5703125" style="1" customWidth="1"/>
    <col min="10760" max="10760" width="18.5703125" style="1" customWidth="1"/>
    <col min="10761" max="11011" width="9.140625" style="1"/>
    <col min="11012" max="11012" width="5.7109375" style="1" customWidth="1"/>
    <col min="11013" max="11013" width="7" style="1" customWidth="1"/>
    <col min="11014" max="11014" width="6.42578125" style="1" customWidth="1"/>
    <col min="11015" max="11015" width="43.5703125" style="1" customWidth="1"/>
    <col min="11016" max="11016" width="18.5703125" style="1" customWidth="1"/>
    <col min="11017" max="11267" width="9.140625" style="1"/>
    <col min="11268" max="11268" width="5.7109375" style="1" customWidth="1"/>
    <col min="11269" max="11269" width="7" style="1" customWidth="1"/>
    <col min="11270" max="11270" width="6.42578125" style="1" customWidth="1"/>
    <col min="11271" max="11271" width="43.5703125" style="1" customWidth="1"/>
    <col min="11272" max="11272" width="18.5703125" style="1" customWidth="1"/>
    <col min="11273" max="11523" width="9.140625" style="1"/>
    <col min="11524" max="11524" width="5.7109375" style="1" customWidth="1"/>
    <col min="11525" max="11525" width="7" style="1" customWidth="1"/>
    <col min="11526" max="11526" width="6.42578125" style="1" customWidth="1"/>
    <col min="11527" max="11527" width="43.5703125" style="1" customWidth="1"/>
    <col min="11528" max="11528" width="18.5703125" style="1" customWidth="1"/>
    <col min="11529" max="11779" width="9.140625" style="1"/>
    <col min="11780" max="11780" width="5.7109375" style="1" customWidth="1"/>
    <col min="11781" max="11781" width="7" style="1" customWidth="1"/>
    <col min="11782" max="11782" width="6.42578125" style="1" customWidth="1"/>
    <col min="11783" max="11783" width="43.5703125" style="1" customWidth="1"/>
    <col min="11784" max="11784" width="18.5703125" style="1" customWidth="1"/>
    <col min="11785" max="12035" width="9.140625" style="1"/>
    <col min="12036" max="12036" width="5.7109375" style="1" customWidth="1"/>
    <col min="12037" max="12037" width="7" style="1" customWidth="1"/>
    <col min="12038" max="12038" width="6.42578125" style="1" customWidth="1"/>
    <col min="12039" max="12039" width="43.5703125" style="1" customWidth="1"/>
    <col min="12040" max="12040" width="18.5703125" style="1" customWidth="1"/>
    <col min="12041" max="12291" width="9.140625" style="1"/>
    <col min="12292" max="12292" width="5.7109375" style="1" customWidth="1"/>
    <col min="12293" max="12293" width="7" style="1" customWidth="1"/>
    <col min="12294" max="12294" width="6.42578125" style="1" customWidth="1"/>
    <col min="12295" max="12295" width="43.5703125" style="1" customWidth="1"/>
    <col min="12296" max="12296" width="18.5703125" style="1" customWidth="1"/>
    <col min="12297" max="12547" width="9.140625" style="1"/>
    <col min="12548" max="12548" width="5.7109375" style="1" customWidth="1"/>
    <col min="12549" max="12549" width="7" style="1" customWidth="1"/>
    <col min="12550" max="12550" width="6.42578125" style="1" customWidth="1"/>
    <col min="12551" max="12551" width="43.5703125" style="1" customWidth="1"/>
    <col min="12552" max="12552" width="18.5703125" style="1" customWidth="1"/>
    <col min="12553" max="12803" width="9.140625" style="1"/>
    <col min="12804" max="12804" width="5.7109375" style="1" customWidth="1"/>
    <col min="12805" max="12805" width="7" style="1" customWidth="1"/>
    <col min="12806" max="12806" width="6.42578125" style="1" customWidth="1"/>
    <col min="12807" max="12807" width="43.5703125" style="1" customWidth="1"/>
    <col min="12808" max="12808" width="18.5703125" style="1" customWidth="1"/>
    <col min="12809" max="13059" width="9.140625" style="1"/>
    <col min="13060" max="13060" width="5.7109375" style="1" customWidth="1"/>
    <col min="13061" max="13061" width="7" style="1" customWidth="1"/>
    <col min="13062" max="13062" width="6.42578125" style="1" customWidth="1"/>
    <col min="13063" max="13063" width="43.5703125" style="1" customWidth="1"/>
    <col min="13064" max="13064" width="18.5703125" style="1" customWidth="1"/>
    <col min="13065" max="13315" width="9.140625" style="1"/>
    <col min="13316" max="13316" width="5.7109375" style="1" customWidth="1"/>
    <col min="13317" max="13317" width="7" style="1" customWidth="1"/>
    <col min="13318" max="13318" width="6.42578125" style="1" customWidth="1"/>
    <col min="13319" max="13319" width="43.5703125" style="1" customWidth="1"/>
    <col min="13320" max="13320" width="18.5703125" style="1" customWidth="1"/>
    <col min="13321" max="13571" width="9.140625" style="1"/>
    <col min="13572" max="13572" width="5.7109375" style="1" customWidth="1"/>
    <col min="13573" max="13573" width="7" style="1" customWidth="1"/>
    <col min="13574" max="13574" width="6.42578125" style="1" customWidth="1"/>
    <col min="13575" max="13575" width="43.5703125" style="1" customWidth="1"/>
    <col min="13576" max="13576" width="18.5703125" style="1" customWidth="1"/>
    <col min="13577" max="13827" width="9.140625" style="1"/>
    <col min="13828" max="13828" width="5.7109375" style="1" customWidth="1"/>
    <col min="13829" max="13829" width="7" style="1" customWidth="1"/>
    <col min="13830" max="13830" width="6.42578125" style="1" customWidth="1"/>
    <col min="13831" max="13831" width="43.5703125" style="1" customWidth="1"/>
    <col min="13832" max="13832" width="18.5703125" style="1" customWidth="1"/>
    <col min="13833" max="14083" width="9.140625" style="1"/>
    <col min="14084" max="14084" width="5.7109375" style="1" customWidth="1"/>
    <col min="14085" max="14085" width="7" style="1" customWidth="1"/>
    <col min="14086" max="14086" width="6.42578125" style="1" customWidth="1"/>
    <col min="14087" max="14087" width="43.5703125" style="1" customWidth="1"/>
    <col min="14088" max="14088" width="18.5703125" style="1" customWidth="1"/>
    <col min="14089" max="14339" width="9.140625" style="1"/>
    <col min="14340" max="14340" width="5.7109375" style="1" customWidth="1"/>
    <col min="14341" max="14341" width="7" style="1" customWidth="1"/>
    <col min="14342" max="14342" width="6.42578125" style="1" customWidth="1"/>
    <col min="14343" max="14343" width="43.5703125" style="1" customWidth="1"/>
    <col min="14344" max="14344" width="18.5703125" style="1" customWidth="1"/>
    <col min="14345" max="14595" width="9.140625" style="1"/>
    <col min="14596" max="14596" width="5.7109375" style="1" customWidth="1"/>
    <col min="14597" max="14597" width="7" style="1" customWidth="1"/>
    <col min="14598" max="14598" width="6.42578125" style="1" customWidth="1"/>
    <col min="14599" max="14599" width="43.5703125" style="1" customWidth="1"/>
    <col min="14600" max="14600" width="18.5703125" style="1" customWidth="1"/>
    <col min="14601" max="14851" width="9.140625" style="1"/>
    <col min="14852" max="14852" width="5.7109375" style="1" customWidth="1"/>
    <col min="14853" max="14853" width="7" style="1" customWidth="1"/>
    <col min="14854" max="14854" width="6.42578125" style="1" customWidth="1"/>
    <col min="14855" max="14855" width="43.5703125" style="1" customWidth="1"/>
    <col min="14856" max="14856" width="18.5703125" style="1" customWidth="1"/>
    <col min="14857" max="15107" width="9.140625" style="1"/>
    <col min="15108" max="15108" width="5.7109375" style="1" customWidth="1"/>
    <col min="15109" max="15109" width="7" style="1" customWidth="1"/>
    <col min="15110" max="15110" width="6.42578125" style="1" customWidth="1"/>
    <col min="15111" max="15111" width="43.5703125" style="1" customWidth="1"/>
    <col min="15112" max="15112" width="18.5703125" style="1" customWidth="1"/>
    <col min="15113" max="15363" width="9.140625" style="1"/>
    <col min="15364" max="15364" width="5.7109375" style="1" customWidth="1"/>
    <col min="15365" max="15365" width="7" style="1" customWidth="1"/>
    <col min="15366" max="15366" width="6.42578125" style="1" customWidth="1"/>
    <col min="15367" max="15367" width="43.5703125" style="1" customWidth="1"/>
    <col min="15368" max="15368" width="18.5703125" style="1" customWidth="1"/>
    <col min="15369" max="15619" width="9.140625" style="1"/>
    <col min="15620" max="15620" width="5.7109375" style="1" customWidth="1"/>
    <col min="15621" max="15621" width="7" style="1" customWidth="1"/>
    <col min="15622" max="15622" width="6.42578125" style="1" customWidth="1"/>
    <col min="15623" max="15623" width="43.5703125" style="1" customWidth="1"/>
    <col min="15624" max="15624" width="18.5703125" style="1" customWidth="1"/>
    <col min="15625" max="15875" width="9.140625" style="1"/>
    <col min="15876" max="15876" width="5.7109375" style="1" customWidth="1"/>
    <col min="15877" max="15877" width="7" style="1" customWidth="1"/>
    <col min="15878" max="15878" width="6.42578125" style="1" customWidth="1"/>
    <col min="15879" max="15879" width="43.5703125" style="1" customWidth="1"/>
    <col min="15880" max="15880" width="18.5703125" style="1" customWidth="1"/>
    <col min="15881" max="16131" width="9.140625" style="1"/>
    <col min="16132" max="16132" width="5.7109375" style="1" customWidth="1"/>
    <col min="16133" max="16133" width="7" style="1" customWidth="1"/>
    <col min="16134" max="16134" width="6.42578125" style="1" customWidth="1"/>
    <col min="16135" max="16135" width="43.5703125" style="1" customWidth="1"/>
    <col min="16136" max="16136" width="18.5703125" style="1" customWidth="1"/>
    <col min="16137" max="16384" width="9.140625" style="1"/>
  </cols>
  <sheetData>
    <row r="1" spans="1:9" ht="13.5" customHeight="1" x14ac:dyDescent="0.25">
      <c r="A1" s="365" t="s">
        <v>0</v>
      </c>
      <c r="B1" s="365"/>
      <c r="C1" s="365"/>
      <c r="D1" s="365"/>
      <c r="E1" s="365"/>
      <c r="F1" s="365"/>
      <c r="G1" s="365"/>
      <c r="H1" s="365"/>
      <c r="I1" s="365"/>
    </row>
    <row r="2" spans="1:9" ht="15.6" customHeight="1" x14ac:dyDescent="0.25">
      <c r="A2" s="365" t="s">
        <v>13</v>
      </c>
      <c r="B2" s="365"/>
      <c r="C2" s="365"/>
      <c r="D2" s="365"/>
      <c r="E2" s="365"/>
      <c r="F2" s="365"/>
      <c r="G2" s="365"/>
      <c r="H2" s="365"/>
      <c r="I2" s="365"/>
    </row>
    <row r="3" spans="1:9" ht="15.6" customHeight="1" x14ac:dyDescent="0.25">
      <c r="A3" s="365" t="s">
        <v>1</v>
      </c>
      <c r="B3" s="365"/>
      <c r="C3" s="365"/>
      <c r="D3" s="365"/>
      <c r="E3" s="365"/>
      <c r="F3" s="365"/>
      <c r="G3" s="365"/>
      <c r="H3" s="365"/>
      <c r="I3" s="365"/>
    </row>
    <row r="4" spans="1:9" ht="32.25" customHeight="1" x14ac:dyDescent="0.25">
      <c r="A4" s="366" t="s">
        <v>14</v>
      </c>
      <c r="B4" s="366"/>
      <c r="C4" s="366"/>
      <c r="D4" s="366"/>
      <c r="E4" s="366"/>
      <c r="F4" s="366"/>
      <c r="G4" s="366"/>
      <c r="H4" s="366"/>
      <c r="I4" s="366"/>
    </row>
    <row r="5" spans="1:9" ht="16.5" customHeight="1" x14ac:dyDescent="0.25">
      <c r="A5" s="2"/>
      <c r="B5" s="2"/>
      <c r="C5" s="2"/>
      <c r="D5" s="2"/>
      <c r="E5" s="2"/>
      <c r="F5" s="2"/>
      <c r="G5" s="2"/>
      <c r="H5" s="2"/>
      <c r="I5" s="3"/>
    </row>
    <row r="6" spans="1:9" ht="53.25" customHeight="1" x14ac:dyDescent="0.25">
      <c r="A6" s="367" t="s">
        <v>2</v>
      </c>
      <c r="B6" s="367" t="s">
        <v>3</v>
      </c>
      <c r="C6" s="367" t="s">
        <v>4</v>
      </c>
      <c r="D6" s="369" t="s">
        <v>57</v>
      </c>
      <c r="E6" s="371" t="s">
        <v>5</v>
      </c>
      <c r="F6" s="373" t="s">
        <v>6</v>
      </c>
      <c r="G6" s="374"/>
      <c r="H6" s="374"/>
      <c r="I6" s="374"/>
    </row>
    <row r="7" spans="1:9" ht="32.25" customHeight="1" x14ac:dyDescent="0.25">
      <c r="A7" s="368"/>
      <c r="B7" s="368"/>
      <c r="C7" s="368"/>
      <c r="D7" s="370"/>
      <c r="E7" s="372"/>
      <c r="F7" s="5" t="s">
        <v>15</v>
      </c>
      <c r="G7" s="5" t="s">
        <v>16</v>
      </c>
      <c r="H7" s="5" t="s">
        <v>17</v>
      </c>
      <c r="I7" s="4" t="s">
        <v>7</v>
      </c>
    </row>
    <row r="8" spans="1:9" ht="32.25" customHeight="1" x14ac:dyDescent="0.25">
      <c r="A8" s="119"/>
      <c r="B8" s="119"/>
      <c r="C8" s="119"/>
      <c r="D8" s="120"/>
      <c r="E8" s="9" t="s">
        <v>72</v>
      </c>
      <c r="F8" s="43">
        <f>SUM(F9+F223)</f>
        <v>0</v>
      </c>
      <c r="G8" s="43">
        <f>SUM(G9+G223)</f>
        <v>0</v>
      </c>
      <c r="H8" s="43">
        <f>SUM(H9+H223)</f>
        <v>-40000</v>
      </c>
      <c r="I8" s="43">
        <f>SUM(I9+I223)</f>
        <v>-40000</v>
      </c>
    </row>
    <row r="9" spans="1:9" s="13" customFormat="1" ht="33" customHeight="1" x14ac:dyDescent="0.25">
      <c r="A9" s="11"/>
      <c r="B9" s="11"/>
      <c r="C9" s="11"/>
      <c r="D9" s="12"/>
      <c r="E9" s="14" t="s">
        <v>9</v>
      </c>
      <c r="F9" s="121">
        <f>SUM(F11+F175)</f>
        <v>1176067</v>
      </c>
      <c r="G9" s="246">
        <f>SUM(G11+G175)</f>
        <v>2352134.1</v>
      </c>
      <c r="H9" s="245">
        <f t="shared" ref="H9:I9" si="0">SUM(H11+H175)</f>
        <v>4076234.7</v>
      </c>
      <c r="I9" s="245">
        <f t="shared" si="0"/>
        <v>5840335.2999999998</v>
      </c>
    </row>
    <row r="10" spans="1:9" s="13" customFormat="1" ht="14.25" x14ac:dyDescent="0.25">
      <c r="A10" s="11"/>
      <c r="B10" s="11"/>
      <c r="C10" s="11"/>
      <c r="D10" s="12"/>
      <c r="E10" s="15" t="s">
        <v>73</v>
      </c>
      <c r="F10" s="87"/>
      <c r="G10" s="87"/>
      <c r="H10" s="87"/>
      <c r="I10" s="87"/>
    </row>
    <row r="11" spans="1:9" s="13" customFormat="1" ht="29.25" customHeight="1" x14ac:dyDescent="0.25">
      <c r="A11" s="7" t="s">
        <v>10</v>
      </c>
      <c r="B11" s="7" t="s">
        <v>11</v>
      </c>
      <c r="C11" s="7" t="s">
        <v>12</v>
      </c>
      <c r="D11" s="24" t="s">
        <v>12</v>
      </c>
      <c r="E11" s="25" t="s">
        <v>59</v>
      </c>
      <c r="F11" s="87">
        <f>SUM(F13+F65+F107+F151)</f>
        <v>1106814.5</v>
      </c>
      <c r="G11" s="87">
        <f t="shared" ref="G11:I11" si="1">SUM(G13+G65+G107+G151)</f>
        <v>2194721.6</v>
      </c>
      <c r="H11" s="87">
        <f t="shared" si="1"/>
        <v>3815622.2</v>
      </c>
      <c r="I11" s="87">
        <f t="shared" si="1"/>
        <v>5497352.7999999998</v>
      </c>
    </row>
    <row r="12" spans="1:9" s="13" customFormat="1" x14ac:dyDescent="0.25">
      <c r="A12" s="7"/>
      <c r="B12" s="7"/>
      <c r="C12" s="7"/>
      <c r="D12" s="8"/>
      <c r="E12" s="22" t="s">
        <v>73</v>
      </c>
      <c r="F12" s="87"/>
      <c r="G12" s="87"/>
      <c r="H12" s="87"/>
      <c r="I12" s="87"/>
    </row>
    <row r="13" spans="1:9" s="13" customFormat="1" ht="18.75" customHeight="1" x14ac:dyDescent="0.25">
      <c r="A13" s="7"/>
      <c r="B13" s="7"/>
      <c r="C13" s="7"/>
      <c r="D13" s="8"/>
      <c r="E13" s="9" t="s">
        <v>155</v>
      </c>
      <c r="F13" s="87">
        <f>SUM(F14+F38+F48)</f>
        <v>1106814.5</v>
      </c>
      <c r="G13" s="87">
        <f t="shared" ref="G13:I13" si="2">SUM(G14+G38+G48)</f>
        <v>2194721.6</v>
      </c>
      <c r="H13" s="87">
        <f t="shared" si="2"/>
        <v>3645825.2</v>
      </c>
      <c r="I13" s="87">
        <f t="shared" si="2"/>
        <v>5327555.8</v>
      </c>
    </row>
    <row r="14" spans="1:9" s="13" customFormat="1" ht="33" x14ac:dyDescent="0.25">
      <c r="A14" s="7"/>
      <c r="B14" s="7"/>
      <c r="C14" s="7"/>
      <c r="D14" s="8"/>
      <c r="E14" s="26" t="s">
        <v>154</v>
      </c>
      <c r="F14" s="87">
        <f>SUM(F16+F24+F28+F30+F32+F35)</f>
        <v>754081.7</v>
      </c>
      <c r="G14" s="87">
        <f t="shared" ref="G14:I14" si="3">SUM(G16+G24+G28+G30+G32+G35)</f>
        <v>1663858.8</v>
      </c>
      <c r="H14" s="87">
        <f t="shared" si="3"/>
        <v>2634229</v>
      </c>
      <c r="I14" s="87">
        <f t="shared" si="3"/>
        <v>3536300</v>
      </c>
    </row>
    <row r="15" spans="1:9" s="13" customFormat="1" x14ac:dyDescent="0.25">
      <c r="A15" s="7"/>
      <c r="B15" s="7"/>
      <c r="C15" s="7"/>
      <c r="D15" s="8"/>
      <c r="E15" s="22" t="s">
        <v>73</v>
      </c>
      <c r="F15" s="87">
        <v>0</v>
      </c>
      <c r="G15" s="87">
        <v>0</v>
      </c>
      <c r="H15" s="87">
        <v>0</v>
      </c>
      <c r="I15" s="87">
        <v>0</v>
      </c>
    </row>
    <row r="16" spans="1:9" s="13" customFormat="1" ht="34.5" customHeight="1" x14ac:dyDescent="0.25">
      <c r="A16" s="7"/>
      <c r="B16" s="7"/>
      <c r="C16" s="7"/>
      <c r="D16" s="7"/>
      <c r="E16" s="27" t="s">
        <v>18</v>
      </c>
      <c r="F16" s="87">
        <f>SUM(F17:F23)</f>
        <v>194398</v>
      </c>
      <c r="G16" s="87">
        <f t="shared" ref="G16:I16" si="4">SUM(G17:G23)</f>
        <v>404917.8</v>
      </c>
      <c r="H16" s="87">
        <f t="shared" si="4"/>
        <v>650638</v>
      </c>
      <c r="I16" s="87">
        <f t="shared" si="4"/>
        <v>853088</v>
      </c>
    </row>
    <row r="17" spans="1:9" s="13" customFormat="1" ht="33" x14ac:dyDescent="0.25">
      <c r="A17" s="24"/>
      <c r="B17" s="24"/>
      <c r="C17" s="24"/>
      <c r="D17" s="24"/>
      <c r="E17" s="44" t="s">
        <v>20</v>
      </c>
      <c r="F17" s="88">
        <v>-1912</v>
      </c>
      <c r="G17" s="88">
        <v>-1912</v>
      </c>
      <c r="H17" s="88">
        <v>-1912</v>
      </c>
      <c r="I17" s="124">
        <v>-1912</v>
      </c>
    </row>
    <row r="18" spans="1:9" s="13" customFormat="1" ht="33" x14ac:dyDescent="0.25">
      <c r="A18" s="24"/>
      <c r="B18" s="24"/>
      <c r="C18" s="24"/>
      <c r="D18" s="24"/>
      <c r="E18" s="30" t="s">
        <v>19</v>
      </c>
      <c r="F18" s="88">
        <v>41700</v>
      </c>
      <c r="G18" s="88">
        <v>75400</v>
      </c>
      <c r="H18" s="88">
        <v>120900</v>
      </c>
      <c r="I18" s="124">
        <v>166400</v>
      </c>
    </row>
    <row r="19" spans="1:9" s="13" customFormat="1" x14ac:dyDescent="0.25">
      <c r="A19" s="24"/>
      <c r="B19" s="24"/>
      <c r="C19" s="24"/>
      <c r="D19" s="24"/>
      <c r="E19" s="30" t="s">
        <v>21</v>
      </c>
      <c r="F19" s="88">
        <v>34340</v>
      </c>
      <c r="G19" s="88">
        <v>70640</v>
      </c>
      <c r="H19" s="88">
        <v>113340</v>
      </c>
      <c r="I19" s="124">
        <v>147210</v>
      </c>
    </row>
    <row r="20" spans="1:9" s="13" customFormat="1" x14ac:dyDescent="0.25">
      <c r="A20" s="24"/>
      <c r="B20" s="24"/>
      <c r="C20" s="24"/>
      <c r="D20" s="24"/>
      <c r="E20" s="30" t="s">
        <v>22</v>
      </c>
      <c r="F20" s="88">
        <v>53570</v>
      </c>
      <c r="G20" s="88">
        <v>99849.8</v>
      </c>
      <c r="H20" s="88">
        <v>175470</v>
      </c>
      <c r="I20" s="124">
        <v>240950</v>
      </c>
    </row>
    <row r="21" spans="1:9" s="13" customFormat="1" ht="33" x14ac:dyDescent="0.25">
      <c r="A21" s="7"/>
      <c r="B21" s="7"/>
      <c r="C21" s="7"/>
      <c r="D21" s="7"/>
      <c r="E21" s="36" t="s">
        <v>109</v>
      </c>
      <c r="F21" s="88">
        <v>36130</v>
      </c>
      <c r="G21" s="88">
        <v>85630</v>
      </c>
      <c r="H21" s="88">
        <v>125630</v>
      </c>
      <c r="I21" s="124">
        <v>160280</v>
      </c>
    </row>
    <row r="22" spans="1:9" s="13" customFormat="1" ht="33" x14ac:dyDescent="0.25">
      <c r="A22" s="7"/>
      <c r="B22" s="7"/>
      <c r="C22" s="7"/>
      <c r="D22" s="7"/>
      <c r="E22" s="35" t="s">
        <v>23</v>
      </c>
      <c r="F22" s="88">
        <v>16620</v>
      </c>
      <c r="G22" s="88">
        <v>34020</v>
      </c>
      <c r="H22" s="88">
        <v>54620</v>
      </c>
      <c r="I22" s="124">
        <v>75260</v>
      </c>
    </row>
    <row r="23" spans="1:9" s="13" customFormat="1" ht="33" x14ac:dyDescent="0.25">
      <c r="A23" s="24"/>
      <c r="B23" s="24"/>
      <c r="C23" s="24"/>
      <c r="D23" s="24"/>
      <c r="E23" s="29" t="s">
        <v>24</v>
      </c>
      <c r="F23" s="88">
        <v>13950</v>
      </c>
      <c r="G23" s="88">
        <v>41290</v>
      </c>
      <c r="H23" s="88">
        <v>62590</v>
      </c>
      <c r="I23" s="124">
        <v>64900</v>
      </c>
    </row>
    <row r="24" spans="1:9" s="13" customFormat="1" ht="26.25" customHeight="1" x14ac:dyDescent="0.25">
      <c r="A24" s="7"/>
      <c r="B24" s="7"/>
      <c r="C24" s="7"/>
      <c r="D24" s="7"/>
      <c r="E24" s="27" t="s">
        <v>25</v>
      </c>
      <c r="F24" s="87">
        <v>280520</v>
      </c>
      <c r="G24" s="87">
        <v>564580</v>
      </c>
      <c r="H24" s="87">
        <v>885080</v>
      </c>
      <c r="I24" s="87">
        <v>1193250</v>
      </c>
    </row>
    <row r="25" spans="1:9" s="13" customFormat="1" ht="33" x14ac:dyDescent="0.25">
      <c r="A25" s="24"/>
      <c r="B25" s="24"/>
      <c r="C25" s="24"/>
      <c r="D25" s="24"/>
      <c r="E25" s="35" t="s">
        <v>110</v>
      </c>
      <c r="F25" s="88">
        <v>222840</v>
      </c>
      <c r="G25" s="88">
        <v>426300</v>
      </c>
      <c r="H25" s="88">
        <v>651800</v>
      </c>
      <c r="I25" s="124">
        <v>864970</v>
      </c>
    </row>
    <row r="26" spans="1:9" s="13" customFormat="1" ht="49.5" x14ac:dyDescent="0.25">
      <c r="A26" s="24"/>
      <c r="B26" s="24"/>
      <c r="C26" s="24"/>
      <c r="D26" s="24"/>
      <c r="E26" s="36" t="s">
        <v>122</v>
      </c>
      <c r="F26" s="88">
        <v>77400</v>
      </c>
      <c r="G26" s="88">
        <v>158000</v>
      </c>
      <c r="H26" s="88">
        <v>253000</v>
      </c>
      <c r="I26" s="124">
        <v>348000</v>
      </c>
    </row>
    <row r="27" spans="1:9" s="13" customFormat="1" ht="33" x14ac:dyDescent="0.25">
      <c r="A27" s="24"/>
      <c r="B27" s="24"/>
      <c r="C27" s="24"/>
      <c r="D27" s="24"/>
      <c r="E27" s="36" t="s">
        <v>74</v>
      </c>
      <c r="F27" s="124">
        <v>-19720</v>
      </c>
      <c r="G27" s="124">
        <v>-19720</v>
      </c>
      <c r="H27" s="124">
        <v>-19720</v>
      </c>
      <c r="I27" s="124">
        <v>-19720</v>
      </c>
    </row>
    <row r="28" spans="1:9" s="13" customFormat="1" x14ac:dyDescent="0.25">
      <c r="A28" s="7"/>
      <c r="B28" s="7"/>
      <c r="C28" s="7"/>
      <c r="D28" s="7"/>
      <c r="E28" s="27" t="s">
        <v>26</v>
      </c>
      <c r="F28" s="87">
        <v>-348</v>
      </c>
      <c r="G28" s="87">
        <v>-348</v>
      </c>
      <c r="H28" s="87">
        <v>-348</v>
      </c>
      <c r="I28" s="87">
        <v>-348</v>
      </c>
    </row>
    <row r="29" spans="1:9" s="13" customFormat="1" ht="49.5" x14ac:dyDescent="0.25">
      <c r="A29" s="24"/>
      <c r="B29" s="24"/>
      <c r="C29" s="24"/>
      <c r="D29" s="24"/>
      <c r="E29" s="29" t="s">
        <v>27</v>
      </c>
      <c r="F29" s="88">
        <v>-348</v>
      </c>
      <c r="G29" s="88">
        <v>-348</v>
      </c>
      <c r="H29" s="88">
        <v>-348</v>
      </c>
      <c r="I29" s="48">
        <v>-348</v>
      </c>
    </row>
    <row r="30" spans="1:9" s="13" customFormat="1" ht="23.25" customHeight="1" x14ac:dyDescent="0.25">
      <c r="A30" s="7"/>
      <c r="B30" s="7"/>
      <c r="C30" s="7"/>
      <c r="D30" s="7"/>
      <c r="E30" s="27" t="s">
        <v>28</v>
      </c>
      <c r="F30" s="87">
        <f>SUM(F31)</f>
        <v>670</v>
      </c>
      <c r="G30" s="87">
        <f t="shared" ref="G30:I30" si="5">SUM(G31)</f>
        <v>1587</v>
      </c>
      <c r="H30" s="87">
        <f t="shared" si="5"/>
        <v>2140</v>
      </c>
      <c r="I30" s="87">
        <f t="shared" si="5"/>
        <v>2690</v>
      </c>
    </row>
    <row r="31" spans="1:9" s="13" customFormat="1" x14ac:dyDescent="0.25">
      <c r="A31" s="24"/>
      <c r="B31" s="24"/>
      <c r="C31" s="24"/>
      <c r="D31" s="24"/>
      <c r="E31" s="30" t="s">
        <v>29</v>
      </c>
      <c r="F31" s="88">
        <v>670</v>
      </c>
      <c r="G31" s="88">
        <v>1587</v>
      </c>
      <c r="H31" s="88">
        <v>2140</v>
      </c>
      <c r="I31" s="48">
        <v>2690</v>
      </c>
    </row>
    <row r="32" spans="1:9" s="13" customFormat="1" x14ac:dyDescent="0.25">
      <c r="A32" s="7"/>
      <c r="B32" s="7"/>
      <c r="C32" s="7"/>
      <c r="D32" s="7"/>
      <c r="E32" s="27" t="s">
        <v>30</v>
      </c>
      <c r="F32" s="87">
        <f>SUM(F33:F34)</f>
        <v>6210</v>
      </c>
      <c r="G32" s="87">
        <f t="shared" ref="G32:I32" si="6">SUM(G33:G34)</f>
        <v>12770</v>
      </c>
      <c r="H32" s="87">
        <f t="shared" si="6"/>
        <v>20510</v>
      </c>
      <c r="I32" s="87">
        <f t="shared" si="6"/>
        <v>28240</v>
      </c>
    </row>
    <row r="33" spans="1:9" s="13" customFormat="1" ht="33" x14ac:dyDescent="0.25">
      <c r="A33" s="24"/>
      <c r="B33" s="24"/>
      <c r="C33" s="24"/>
      <c r="D33" s="24"/>
      <c r="E33" s="46" t="s">
        <v>75</v>
      </c>
      <c r="F33" s="124">
        <v>-600</v>
      </c>
      <c r="G33" s="124">
        <v>-600</v>
      </c>
      <c r="H33" s="124">
        <v>-600</v>
      </c>
      <c r="I33" s="124">
        <v>-600</v>
      </c>
    </row>
    <row r="34" spans="1:9" s="13" customFormat="1" ht="33" x14ac:dyDescent="0.25">
      <c r="A34" s="24"/>
      <c r="B34" s="24"/>
      <c r="C34" s="24"/>
      <c r="D34" s="24"/>
      <c r="E34" s="46" t="s">
        <v>123</v>
      </c>
      <c r="F34" s="88">
        <v>6810</v>
      </c>
      <c r="G34" s="88">
        <v>13370</v>
      </c>
      <c r="H34" s="88">
        <v>21110</v>
      </c>
      <c r="I34" s="124">
        <v>28840</v>
      </c>
    </row>
    <row r="35" spans="1:9" s="13" customFormat="1" x14ac:dyDescent="0.25">
      <c r="A35" s="7"/>
      <c r="B35" s="7"/>
      <c r="C35" s="7"/>
      <c r="D35" s="7"/>
      <c r="E35" s="27" t="s">
        <v>76</v>
      </c>
      <c r="F35" s="87">
        <f>SUM(F36:F37)</f>
        <v>272631.7</v>
      </c>
      <c r="G35" s="87">
        <f t="shared" ref="G35:I35" si="7">SUM(G36:G37)</f>
        <v>680352</v>
      </c>
      <c r="H35" s="87">
        <f t="shared" si="7"/>
        <v>1076209</v>
      </c>
      <c r="I35" s="87">
        <f t="shared" si="7"/>
        <v>1459380</v>
      </c>
    </row>
    <row r="36" spans="1:9" s="13" customFormat="1" ht="33" x14ac:dyDescent="0.25">
      <c r="A36" s="24"/>
      <c r="B36" s="24"/>
      <c r="C36" s="24"/>
      <c r="D36" s="24"/>
      <c r="E36" s="30" t="s">
        <v>31</v>
      </c>
      <c r="F36" s="88">
        <f>271370+1261.7</f>
        <v>272631.7</v>
      </c>
      <c r="G36" s="88">
        <f>675852+4500</f>
        <v>680352</v>
      </c>
      <c r="H36" s="88">
        <f>1068909-2700</f>
        <v>1066209</v>
      </c>
      <c r="I36" s="48">
        <v>1449380</v>
      </c>
    </row>
    <row r="37" spans="1:9" s="13" customFormat="1" ht="66" x14ac:dyDescent="0.25">
      <c r="A37" s="24"/>
      <c r="B37" s="24"/>
      <c r="C37" s="24"/>
      <c r="D37" s="24"/>
      <c r="E37" s="33" t="s">
        <v>114</v>
      </c>
      <c r="F37" s="88">
        <v>0</v>
      </c>
      <c r="G37" s="88">
        <v>0</v>
      </c>
      <c r="H37" s="88">
        <v>10000</v>
      </c>
      <c r="I37" s="48">
        <v>10000</v>
      </c>
    </row>
    <row r="38" spans="1:9" s="13" customFormat="1" ht="33" x14ac:dyDescent="0.25">
      <c r="A38" s="31"/>
      <c r="B38" s="31"/>
      <c r="C38" s="31"/>
      <c r="D38" s="32"/>
      <c r="E38" s="26" t="s">
        <v>158</v>
      </c>
      <c r="F38" s="87">
        <f>SUM(F40+F42+F44+F46)</f>
        <v>-5028</v>
      </c>
      <c r="G38" s="87">
        <f t="shared" ref="G38:I38" si="8">SUM(G40+G42+G44+G46)</f>
        <v>13472</v>
      </c>
      <c r="H38" s="87">
        <f t="shared" si="8"/>
        <v>120705.4</v>
      </c>
      <c r="I38" s="87">
        <f t="shared" si="8"/>
        <v>189062</v>
      </c>
    </row>
    <row r="39" spans="1:9" s="13" customFormat="1" x14ac:dyDescent="0.25">
      <c r="A39" s="7"/>
      <c r="B39" s="7"/>
      <c r="C39" s="7"/>
      <c r="D39" s="8"/>
      <c r="E39" s="22" t="s">
        <v>73</v>
      </c>
      <c r="F39" s="87">
        <v>0</v>
      </c>
      <c r="G39" s="87">
        <v>0</v>
      </c>
      <c r="H39" s="87">
        <v>0</v>
      </c>
      <c r="I39" s="87">
        <v>0</v>
      </c>
    </row>
    <row r="40" spans="1:9" s="13" customFormat="1" ht="33" x14ac:dyDescent="0.25">
      <c r="A40" s="7"/>
      <c r="B40" s="7"/>
      <c r="C40" s="7"/>
      <c r="D40" s="7"/>
      <c r="E40" s="27" t="s">
        <v>32</v>
      </c>
      <c r="F40" s="87">
        <v>-54188</v>
      </c>
      <c r="G40" s="87">
        <v>-54188</v>
      </c>
      <c r="H40" s="87">
        <v>-54188</v>
      </c>
      <c r="I40" s="87">
        <v>-54188</v>
      </c>
    </row>
    <row r="41" spans="1:9" s="13" customFormat="1" x14ac:dyDescent="0.25">
      <c r="A41" s="24"/>
      <c r="B41" s="24"/>
      <c r="C41" s="24"/>
      <c r="D41" s="24"/>
      <c r="E41" s="33" t="s">
        <v>33</v>
      </c>
      <c r="F41" s="88">
        <v>-54188</v>
      </c>
      <c r="G41" s="88">
        <v>-54188</v>
      </c>
      <c r="H41" s="88">
        <v>-54188</v>
      </c>
      <c r="I41" s="48">
        <v>-54188</v>
      </c>
    </row>
    <row r="42" spans="1:9" s="13" customFormat="1" x14ac:dyDescent="0.25">
      <c r="A42" s="7"/>
      <c r="B42" s="7"/>
      <c r="C42" s="7"/>
      <c r="D42" s="7"/>
      <c r="E42" s="27" t="s">
        <v>34</v>
      </c>
      <c r="F42" s="87">
        <v>45170</v>
      </c>
      <c r="G42" s="87">
        <v>54570</v>
      </c>
      <c r="H42" s="87">
        <v>151570</v>
      </c>
      <c r="I42" s="43">
        <v>208740</v>
      </c>
    </row>
    <row r="43" spans="1:9" s="13" customFormat="1" ht="33" x14ac:dyDescent="0.25">
      <c r="A43" s="24"/>
      <c r="B43" s="24"/>
      <c r="C43" s="24"/>
      <c r="D43" s="24"/>
      <c r="E43" s="44" t="s">
        <v>35</v>
      </c>
      <c r="F43" s="88">
        <v>45170</v>
      </c>
      <c r="G43" s="88">
        <v>54570</v>
      </c>
      <c r="H43" s="88">
        <v>151570</v>
      </c>
      <c r="I43" s="48">
        <v>208740</v>
      </c>
    </row>
    <row r="44" spans="1:9" s="13" customFormat="1" x14ac:dyDescent="0.25">
      <c r="A44" s="24"/>
      <c r="B44" s="24"/>
      <c r="C44" s="24"/>
      <c r="D44" s="24"/>
      <c r="E44" s="27" t="s">
        <v>65</v>
      </c>
      <c r="F44" s="87">
        <v>-4000</v>
      </c>
      <c r="G44" s="87">
        <v>-4000</v>
      </c>
      <c r="H44" s="87">
        <v>-4000</v>
      </c>
      <c r="I44" s="87">
        <v>-4000</v>
      </c>
    </row>
    <row r="45" spans="1:9" s="13" customFormat="1" x14ac:dyDescent="0.25">
      <c r="A45" s="24"/>
      <c r="B45" s="24"/>
      <c r="C45" s="24"/>
      <c r="D45" s="24"/>
      <c r="E45" s="30" t="s">
        <v>77</v>
      </c>
      <c r="F45" s="124">
        <v>-4000</v>
      </c>
      <c r="G45" s="124">
        <v>-4000</v>
      </c>
      <c r="H45" s="124">
        <v>-4000</v>
      </c>
      <c r="I45" s="124">
        <v>-4000</v>
      </c>
    </row>
    <row r="46" spans="1:9" s="13" customFormat="1" ht="33" x14ac:dyDescent="0.25">
      <c r="A46" s="7"/>
      <c r="B46" s="7"/>
      <c r="C46" s="7"/>
      <c r="D46" s="7"/>
      <c r="E46" s="27" t="s">
        <v>36</v>
      </c>
      <c r="F46" s="87">
        <v>7990</v>
      </c>
      <c r="G46" s="87">
        <v>17090</v>
      </c>
      <c r="H46" s="87">
        <v>27323.4</v>
      </c>
      <c r="I46" s="43">
        <v>38510</v>
      </c>
    </row>
    <row r="47" spans="1:9" s="13" customFormat="1" x14ac:dyDescent="0.25">
      <c r="A47" s="24"/>
      <c r="B47" s="24"/>
      <c r="C47" s="24"/>
      <c r="D47" s="24"/>
      <c r="E47" s="44" t="s">
        <v>37</v>
      </c>
      <c r="F47" s="88">
        <v>7990</v>
      </c>
      <c r="G47" s="88">
        <v>17090</v>
      </c>
      <c r="H47" s="88">
        <v>27323.4</v>
      </c>
      <c r="I47" s="48">
        <v>38510</v>
      </c>
    </row>
    <row r="48" spans="1:9" s="13" customFormat="1" ht="33" x14ac:dyDescent="0.25">
      <c r="A48" s="31"/>
      <c r="B48" s="31"/>
      <c r="C48" s="31"/>
      <c r="D48" s="32"/>
      <c r="E48" s="47" t="s">
        <v>159</v>
      </c>
      <c r="F48" s="87">
        <f>SUM(F50+F52+F53+F54+F55+F56+F57+F58+F59+F60+F61+F62+F63+F64)</f>
        <v>357760.8</v>
      </c>
      <c r="G48" s="87">
        <f>SUM(G50+G52+G53+G54+G55+G56+G57+G58+G59+G60+G61+G62+G63+G64)</f>
        <v>517390.8</v>
      </c>
      <c r="H48" s="87">
        <f>SUM(H50+H52+H53+H54+H55+H56+H57+H58+H59+H60+H61+H62+H63+H64)</f>
        <v>890890.8</v>
      </c>
      <c r="I48" s="87">
        <f>SUM(I50+I52+I53+I54+I55+I56+I57+I58+I59+I60+I61+I62+I63+I64)</f>
        <v>1602193.8</v>
      </c>
    </row>
    <row r="49" spans="1:9" s="13" customFormat="1" x14ac:dyDescent="0.25">
      <c r="A49" s="8"/>
      <c r="B49" s="8"/>
      <c r="C49" s="8"/>
      <c r="D49" s="24"/>
      <c r="E49" s="22" t="s">
        <v>73</v>
      </c>
      <c r="F49" s="87">
        <v>0</v>
      </c>
      <c r="G49" s="87">
        <v>0</v>
      </c>
      <c r="H49" s="87">
        <v>0</v>
      </c>
      <c r="I49" s="91">
        <v>0</v>
      </c>
    </row>
    <row r="50" spans="1:9" s="13" customFormat="1" x14ac:dyDescent="0.25">
      <c r="A50" s="7"/>
      <c r="B50" s="7"/>
      <c r="C50" s="7"/>
      <c r="D50" s="7"/>
      <c r="E50" s="27" t="s">
        <v>38</v>
      </c>
      <c r="F50" s="87">
        <v>8770.7999999999993</v>
      </c>
      <c r="G50" s="87">
        <v>8770.7999999999993</v>
      </c>
      <c r="H50" s="87">
        <v>8770.7999999999993</v>
      </c>
      <c r="I50" s="87">
        <v>8770.8000000000029</v>
      </c>
    </row>
    <row r="51" spans="1:9" s="13" customFormat="1" ht="33" x14ac:dyDescent="0.25">
      <c r="A51" s="24"/>
      <c r="B51" s="24"/>
      <c r="C51" s="24"/>
      <c r="D51" s="24"/>
      <c r="E51" s="44" t="s">
        <v>39</v>
      </c>
      <c r="F51" s="88">
        <v>8770.7999999999993</v>
      </c>
      <c r="G51" s="88">
        <v>8770.7999999999993</v>
      </c>
      <c r="H51" s="88">
        <v>8770.7999999999993</v>
      </c>
      <c r="I51" s="124">
        <v>8770.8000000000029</v>
      </c>
    </row>
    <row r="52" spans="1:9" s="13" customFormat="1" ht="49.5" x14ac:dyDescent="0.25">
      <c r="A52" s="7"/>
      <c r="B52" s="7"/>
      <c r="C52" s="7"/>
      <c r="D52" s="7"/>
      <c r="E52" s="27" t="s">
        <v>78</v>
      </c>
      <c r="F52" s="87">
        <v>3000</v>
      </c>
      <c r="G52" s="87">
        <v>5700</v>
      </c>
      <c r="H52" s="87">
        <v>9200</v>
      </c>
      <c r="I52" s="43">
        <v>12630</v>
      </c>
    </row>
    <row r="53" spans="1:9" s="13" customFormat="1" ht="49.5" x14ac:dyDescent="0.25">
      <c r="A53" s="7"/>
      <c r="B53" s="7"/>
      <c r="C53" s="7"/>
      <c r="D53" s="7"/>
      <c r="E53" s="27" t="s">
        <v>79</v>
      </c>
      <c r="F53" s="87">
        <v>17400</v>
      </c>
      <c r="G53" s="87">
        <v>35800</v>
      </c>
      <c r="H53" s="87">
        <v>57700</v>
      </c>
      <c r="I53" s="84">
        <v>79500</v>
      </c>
    </row>
    <row r="54" spans="1:9" s="13" customFormat="1" ht="49.5" x14ac:dyDescent="0.25">
      <c r="A54" s="7"/>
      <c r="B54" s="7"/>
      <c r="C54" s="7"/>
      <c r="D54" s="7"/>
      <c r="E54" s="27" t="s">
        <v>40</v>
      </c>
      <c r="F54" s="87">
        <v>6510</v>
      </c>
      <c r="G54" s="87">
        <v>13510</v>
      </c>
      <c r="H54" s="87">
        <v>21710</v>
      </c>
      <c r="I54" s="43">
        <v>29880</v>
      </c>
    </row>
    <row r="55" spans="1:9" s="13" customFormat="1" ht="49.5" x14ac:dyDescent="0.25">
      <c r="A55" s="7"/>
      <c r="B55" s="7"/>
      <c r="C55" s="7"/>
      <c r="D55" s="7"/>
      <c r="E55" s="27" t="s">
        <v>41</v>
      </c>
      <c r="F55" s="87">
        <v>2200</v>
      </c>
      <c r="G55" s="87">
        <v>4500</v>
      </c>
      <c r="H55" s="87">
        <v>7300</v>
      </c>
      <c r="I55" s="43">
        <v>9300</v>
      </c>
    </row>
    <row r="56" spans="1:9" s="13" customFormat="1" x14ac:dyDescent="0.25">
      <c r="A56" s="7"/>
      <c r="B56" s="7"/>
      <c r="C56" s="7"/>
      <c r="D56" s="7"/>
      <c r="E56" s="27" t="s">
        <v>42</v>
      </c>
      <c r="F56" s="87">
        <v>22780</v>
      </c>
      <c r="G56" s="87">
        <v>46680</v>
      </c>
      <c r="H56" s="87">
        <v>54880</v>
      </c>
      <c r="I56" s="43">
        <v>104840</v>
      </c>
    </row>
    <row r="57" spans="1:9" s="13" customFormat="1" ht="33" x14ac:dyDescent="0.25">
      <c r="A57" s="7"/>
      <c r="B57" s="7"/>
      <c r="C57" s="7"/>
      <c r="D57" s="7"/>
      <c r="E57" s="27" t="s">
        <v>43</v>
      </c>
      <c r="F57" s="87">
        <v>41290</v>
      </c>
      <c r="G57" s="87">
        <v>57290</v>
      </c>
      <c r="H57" s="87">
        <v>117290</v>
      </c>
      <c r="I57" s="43">
        <v>198030</v>
      </c>
    </row>
    <row r="58" spans="1:9" s="13" customFormat="1" ht="33" x14ac:dyDescent="0.25">
      <c r="A58" s="7"/>
      <c r="B58" s="7"/>
      <c r="C58" s="7"/>
      <c r="D58" s="7"/>
      <c r="E58" s="27" t="s">
        <v>44</v>
      </c>
      <c r="F58" s="87">
        <v>34080</v>
      </c>
      <c r="G58" s="87">
        <v>57180</v>
      </c>
      <c r="H58" s="87">
        <v>97180</v>
      </c>
      <c r="I58" s="43">
        <v>175090</v>
      </c>
    </row>
    <row r="59" spans="1:9" s="13" customFormat="1" ht="33" x14ac:dyDescent="0.25">
      <c r="A59" s="7"/>
      <c r="B59" s="7"/>
      <c r="C59" s="7"/>
      <c r="D59" s="7"/>
      <c r="E59" s="27" t="s">
        <v>45</v>
      </c>
      <c r="F59" s="87">
        <v>61910</v>
      </c>
      <c r="G59" s="87">
        <v>80740</v>
      </c>
      <c r="H59" s="87">
        <v>195740</v>
      </c>
      <c r="I59" s="43">
        <v>293110</v>
      </c>
    </row>
    <row r="60" spans="1:9" s="13" customFormat="1" ht="33" x14ac:dyDescent="0.25">
      <c r="A60" s="7"/>
      <c r="B60" s="7"/>
      <c r="C60" s="7"/>
      <c r="D60" s="7"/>
      <c r="E60" s="27" t="s">
        <v>46</v>
      </c>
      <c r="F60" s="87">
        <v>7750</v>
      </c>
      <c r="G60" s="87">
        <v>15950</v>
      </c>
      <c r="H60" s="87">
        <v>25450</v>
      </c>
      <c r="I60" s="43">
        <v>35050</v>
      </c>
    </row>
    <row r="61" spans="1:9" s="13" customFormat="1" x14ac:dyDescent="0.25">
      <c r="A61" s="7"/>
      <c r="B61" s="7"/>
      <c r="C61" s="7"/>
      <c r="D61" s="7"/>
      <c r="E61" s="27" t="s">
        <v>47</v>
      </c>
      <c r="F61" s="87">
        <v>48040</v>
      </c>
      <c r="G61" s="87">
        <v>54540</v>
      </c>
      <c r="H61" s="87">
        <v>64540</v>
      </c>
      <c r="I61" s="43">
        <v>224730</v>
      </c>
    </row>
    <row r="62" spans="1:9" s="13" customFormat="1" ht="49.5" x14ac:dyDescent="0.25">
      <c r="A62" s="7"/>
      <c r="B62" s="7"/>
      <c r="C62" s="7"/>
      <c r="D62" s="7"/>
      <c r="E62" s="27" t="s">
        <v>119</v>
      </c>
      <c r="F62" s="87">
        <v>20900</v>
      </c>
      <c r="G62" s="87">
        <v>30900</v>
      </c>
      <c r="H62" s="87">
        <v>66300</v>
      </c>
      <c r="I62" s="43">
        <v>90900</v>
      </c>
    </row>
    <row r="63" spans="1:9" s="13" customFormat="1" ht="33" x14ac:dyDescent="0.25">
      <c r="A63" s="7"/>
      <c r="B63" s="7"/>
      <c r="C63" s="7"/>
      <c r="D63" s="7"/>
      <c r="E63" s="27" t="s">
        <v>120</v>
      </c>
      <c r="F63" s="91">
        <v>48800</v>
      </c>
      <c r="G63" s="91">
        <v>60000</v>
      </c>
      <c r="H63" s="91">
        <v>85000</v>
      </c>
      <c r="I63" s="43">
        <v>218800</v>
      </c>
    </row>
    <row r="64" spans="1:9" s="13" customFormat="1" x14ac:dyDescent="0.25">
      <c r="A64" s="7"/>
      <c r="B64" s="7"/>
      <c r="C64" s="7"/>
      <c r="D64" s="7"/>
      <c r="E64" s="27" t="s">
        <v>121</v>
      </c>
      <c r="F64" s="91">
        <v>34330</v>
      </c>
      <c r="G64" s="91">
        <v>45830</v>
      </c>
      <c r="H64" s="91">
        <f>109830-30000</f>
        <v>79830</v>
      </c>
      <c r="I64" s="43">
        <f>151563-30000</f>
        <v>121563</v>
      </c>
    </row>
    <row r="65" spans="1:9" s="13" customFormat="1" ht="33" x14ac:dyDescent="0.25">
      <c r="A65" s="57"/>
      <c r="B65" s="57"/>
      <c r="C65" s="57"/>
      <c r="D65" s="57"/>
      <c r="E65" s="42" t="s">
        <v>124</v>
      </c>
      <c r="F65" s="87">
        <f>SUM(F66+F84+F91)</f>
        <v>0</v>
      </c>
      <c r="G65" s="87">
        <f t="shared" ref="G65:I65" si="9">SUM(G66+G84+G91)</f>
        <v>0</v>
      </c>
      <c r="H65" s="87">
        <f t="shared" si="9"/>
        <v>58957</v>
      </c>
      <c r="I65" s="87">
        <f t="shared" si="9"/>
        <v>58957</v>
      </c>
    </row>
    <row r="66" spans="1:9" s="13" customFormat="1" ht="33" x14ac:dyDescent="0.25">
      <c r="A66" s="7"/>
      <c r="B66" s="7"/>
      <c r="C66" s="7"/>
      <c r="D66" s="7"/>
      <c r="E66" s="38" t="s">
        <v>108</v>
      </c>
      <c r="F66" s="87">
        <f>SUM(F67+F75+F78+F80+F82)</f>
        <v>0</v>
      </c>
      <c r="G66" s="87">
        <f>SUM(G67+G75+G78+G80+G82)</f>
        <v>0</v>
      </c>
      <c r="H66" s="87">
        <f>SUM(H67+H75+H78+H80+H82)</f>
        <v>38957</v>
      </c>
      <c r="I66" s="87">
        <f t="shared" ref="I66" si="10">SUM(I67+I75+I78+I80+I82)</f>
        <v>38957</v>
      </c>
    </row>
    <row r="67" spans="1:9" s="13" customFormat="1" ht="33" x14ac:dyDescent="0.25">
      <c r="A67" s="7"/>
      <c r="B67" s="7"/>
      <c r="C67" s="7"/>
      <c r="D67" s="7"/>
      <c r="E67" s="34" t="s">
        <v>18</v>
      </c>
      <c r="F67" s="87">
        <f>SUM(F68:F74)</f>
        <v>0</v>
      </c>
      <c r="G67" s="87">
        <f t="shared" ref="G67:I67" si="11">SUM(G68:G74)</f>
        <v>0</v>
      </c>
      <c r="H67" s="87">
        <f t="shared" si="11"/>
        <v>11607</v>
      </c>
      <c r="I67" s="87">
        <f t="shared" si="11"/>
        <v>11607</v>
      </c>
    </row>
    <row r="68" spans="1:9" s="13" customFormat="1" ht="33" x14ac:dyDescent="0.25">
      <c r="A68" s="7"/>
      <c r="B68" s="7"/>
      <c r="C68" s="7"/>
      <c r="D68" s="7"/>
      <c r="E68" s="35" t="s">
        <v>19</v>
      </c>
      <c r="F68" s="88">
        <v>0</v>
      </c>
      <c r="G68" s="88">
        <v>0</v>
      </c>
      <c r="H68" s="87">
        <v>1667</v>
      </c>
      <c r="I68" s="87">
        <v>1667</v>
      </c>
    </row>
    <row r="69" spans="1:9" s="13" customFormat="1" ht="33" x14ac:dyDescent="0.25">
      <c r="A69" s="7"/>
      <c r="B69" s="7"/>
      <c r="C69" s="7"/>
      <c r="D69" s="7"/>
      <c r="E69" s="35" t="s">
        <v>20</v>
      </c>
      <c r="F69" s="88">
        <v>0</v>
      </c>
      <c r="G69" s="88">
        <v>0</v>
      </c>
      <c r="H69" s="87">
        <v>70</v>
      </c>
      <c r="I69" s="87">
        <v>70</v>
      </c>
    </row>
    <row r="70" spans="1:9" s="16" customFormat="1" ht="33" customHeight="1" x14ac:dyDescent="0.25">
      <c r="A70" s="7"/>
      <c r="B70" s="7"/>
      <c r="C70" s="7"/>
      <c r="D70" s="7"/>
      <c r="E70" s="36" t="s">
        <v>21</v>
      </c>
      <c r="F70" s="88">
        <v>0</v>
      </c>
      <c r="G70" s="88">
        <v>0</v>
      </c>
      <c r="H70" s="87">
        <v>4500</v>
      </c>
      <c r="I70" s="87">
        <v>4500</v>
      </c>
    </row>
    <row r="71" spans="1:9" s="13" customFormat="1" x14ac:dyDescent="0.25">
      <c r="A71" s="7"/>
      <c r="B71" s="7"/>
      <c r="C71" s="7"/>
      <c r="D71" s="7"/>
      <c r="E71" s="35" t="s">
        <v>22</v>
      </c>
      <c r="F71" s="88">
        <v>0</v>
      </c>
      <c r="G71" s="88">
        <v>0</v>
      </c>
      <c r="H71" s="87">
        <v>2640</v>
      </c>
      <c r="I71" s="87">
        <v>2640</v>
      </c>
    </row>
    <row r="72" spans="1:9" s="13" customFormat="1" ht="33" x14ac:dyDescent="0.25">
      <c r="A72" s="7"/>
      <c r="B72" s="7"/>
      <c r="C72" s="7"/>
      <c r="D72" s="7"/>
      <c r="E72" s="36" t="s">
        <v>109</v>
      </c>
      <c r="F72" s="88">
        <v>0</v>
      </c>
      <c r="G72" s="88">
        <v>0</v>
      </c>
      <c r="H72" s="87">
        <v>1330</v>
      </c>
      <c r="I72" s="87">
        <v>1330</v>
      </c>
    </row>
    <row r="73" spans="1:9" s="13" customFormat="1" ht="33" x14ac:dyDescent="0.25">
      <c r="A73" s="7"/>
      <c r="B73" s="7"/>
      <c r="C73" s="7"/>
      <c r="D73" s="7"/>
      <c r="E73" s="35" t="s">
        <v>23</v>
      </c>
      <c r="F73" s="88">
        <v>0</v>
      </c>
      <c r="G73" s="88">
        <v>0</v>
      </c>
      <c r="H73" s="87">
        <v>750</v>
      </c>
      <c r="I73" s="87">
        <v>750</v>
      </c>
    </row>
    <row r="74" spans="1:9" s="13" customFormat="1" ht="43.5" customHeight="1" x14ac:dyDescent="0.25">
      <c r="A74" s="7"/>
      <c r="B74" s="7"/>
      <c r="C74" s="7"/>
      <c r="D74" s="7"/>
      <c r="E74" s="35" t="s">
        <v>24</v>
      </c>
      <c r="F74" s="88">
        <v>0</v>
      </c>
      <c r="G74" s="88">
        <v>0</v>
      </c>
      <c r="H74" s="118">
        <v>650</v>
      </c>
      <c r="I74" s="118">
        <v>650</v>
      </c>
    </row>
    <row r="75" spans="1:9" s="6" customFormat="1" ht="33" customHeight="1" x14ac:dyDescent="0.25">
      <c r="A75" s="7"/>
      <c r="B75" s="7"/>
      <c r="C75" s="7"/>
      <c r="D75" s="7"/>
      <c r="E75" s="37" t="s">
        <v>25</v>
      </c>
      <c r="F75" s="87">
        <f>SUM(F76:F77)</f>
        <v>0</v>
      </c>
      <c r="G75" s="87">
        <f t="shared" ref="G75:I75" si="12">SUM(G76:G77)</f>
        <v>0</v>
      </c>
      <c r="H75" s="87">
        <f t="shared" si="12"/>
        <v>12050</v>
      </c>
      <c r="I75" s="87">
        <f t="shared" si="12"/>
        <v>12050</v>
      </c>
    </row>
    <row r="76" spans="1:9" s="6" customFormat="1" ht="33" customHeight="1" x14ac:dyDescent="0.25">
      <c r="A76" s="7"/>
      <c r="B76" s="7"/>
      <c r="C76" s="7"/>
      <c r="D76" s="7"/>
      <c r="E76" s="35" t="s">
        <v>110</v>
      </c>
      <c r="F76" s="88">
        <v>0</v>
      </c>
      <c r="G76" s="88">
        <v>0</v>
      </c>
      <c r="H76" s="88">
        <v>8570</v>
      </c>
      <c r="I76" s="88">
        <v>8570</v>
      </c>
    </row>
    <row r="77" spans="1:9" s="6" customFormat="1" ht="66.75" customHeight="1" x14ac:dyDescent="0.25">
      <c r="A77" s="7"/>
      <c r="B77" s="7"/>
      <c r="C77" s="7"/>
      <c r="D77" s="7"/>
      <c r="E77" s="35" t="s">
        <v>111</v>
      </c>
      <c r="F77" s="88">
        <v>0</v>
      </c>
      <c r="G77" s="88">
        <v>0</v>
      </c>
      <c r="H77" s="88">
        <v>3480</v>
      </c>
      <c r="I77" s="88">
        <v>3480</v>
      </c>
    </row>
    <row r="78" spans="1:9" s="6" customFormat="1" ht="18" customHeight="1" x14ac:dyDescent="0.25">
      <c r="A78" s="7"/>
      <c r="B78" s="7"/>
      <c r="C78" s="7"/>
      <c r="D78" s="7"/>
      <c r="E78" s="34" t="s">
        <v>28</v>
      </c>
      <c r="F78" s="87">
        <f>SUM(F79)</f>
        <v>0</v>
      </c>
      <c r="G78" s="87">
        <f t="shared" ref="G78:I78" si="13">SUM(G79)</f>
        <v>0</v>
      </c>
      <c r="H78" s="87">
        <f t="shared" si="13"/>
        <v>20</v>
      </c>
      <c r="I78" s="87">
        <f t="shared" si="13"/>
        <v>20</v>
      </c>
    </row>
    <row r="79" spans="1:9" s="6" customFormat="1" ht="33" customHeight="1" x14ac:dyDescent="0.25">
      <c r="A79" s="7"/>
      <c r="B79" s="7"/>
      <c r="C79" s="7"/>
      <c r="D79" s="7"/>
      <c r="E79" s="35" t="s">
        <v>29</v>
      </c>
      <c r="F79" s="88">
        <v>0</v>
      </c>
      <c r="G79" s="88">
        <v>0</v>
      </c>
      <c r="H79" s="88">
        <v>20</v>
      </c>
      <c r="I79" s="88">
        <v>20</v>
      </c>
    </row>
    <row r="80" spans="1:9" s="6" customFormat="1" ht="33" customHeight="1" x14ac:dyDescent="0.25">
      <c r="A80" s="7"/>
      <c r="B80" s="7"/>
      <c r="C80" s="7"/>
      <c r="D80" s="7"/>
      <c r="E80" s="34" t="s">
        <v>30</v>
      </c>
      <c r="F80" s="87">
        <f>SUM(F81)</f>
        <v>0</v>
      </c>
      <c r="G80" s="87">
        <f t="shared" ref="G80:I80" si="14">SUM(G81)</f>
        <v>0</v>
      </c>
      <c r="H80" s="87">
        <f t="shared" si="14"/>
        <v>280</v>
      </c>
      <c r="I80" s="87">
        <f t="shared" si="14"/>
        <v>280</v>
      </c>
    </row>
    <row r="81" spans="1:9" s="13" customFormat="1" ht="30.75" customHeight="1" x14ac:dyDescent="0.25">
      <c r="A81" s="7"/>
      <c r="B81" s="7"/>
      <c r="C81" s="7"/>
      <c r="D81" s="7"/>
      <c r="E81" s="35" t="s">
        <v>112</v>
      </c>
      <c r="F81" s="118">
        <v>0</v>
      </c>
      <c r="G81" s="118">
        <v>0</v>
      </c>
      <c r="H81" s="118">
        <v>280</v>
      </c>
      <c r="I81" s="118">
        <v>280</v>
      </c>
    </row>
    <row r="82" spans="1:9" s="6" customFormat="1" ht="30.75" customHeight="1" x14ac:dyDescent="0.25">
      <c r="A82" s="7"/>
      <c r="B82" s="7"/>
      <c r="C82" s="7"/>
      <c r="D82" s="7"/>
      <c r="E82" s="37" t="s">
        <v>113</v>
      </c>
      <c r="F82" s="87">
        <f>SUM(F83)</f>
        <v>0</v>
      </c>
      <c r="G82" s="87">
        <f t="shared" ref="G82:I82" si="15">SUM(G83)</f>
        <v>0</v>
      </c>
      <c r="H82" s="87">
        <f t="shared" si="15"/>
        <v>15000</v>
      </c>
      <c r="I82" s="87">
        <f t="shared" si="15"/>
        <v>15000</v>
      </c>
    </row>
    <row r="83" spans="1:9" s="13" customFormat="1" ht="30.75" customHeight="1" x14ac:dyDescent="0.25">
      <c r="A83" s="7"/>
      <c r="B83" s="7"/>
      <c r="C83" s="7"/>
      <c r="D83" s="7"/>
      <c r="E83" s="36" t="s">
        <v>31</v>
      </c>
      <c r="F83" s="118">
        <v>0</v>
      </c>
      <c r="G83" s="118">
        <v>0</v>
      </c>
      <c r="H83" s="118">
        <v>15000</v>
      </c>
      <c r="I83" s="118">
        <v>15000</v>
      </c>
    </row>
    <row r="84" spans="1:9" s="6" customFormat="1" ht="33" customHeight="1" x14ac:dyDescent="0.25">
      <c r="A84" s="7"/>
      <c r="B84" s="7"/>
      <c r="C84" s="7"/>
      <c r="D84" s="7"/>
      <c r="E84" s="38" t="s">
        <v>115</v>
      </c>
      <c r="F84" s="87">
        <f>SUM(F85+F87+F89)</f>
        <v>0</v>
      </c>
      <c r="G84" s="87">
        <f t="shared" ref="G84:I84" si="16">SUM(G85+G87+G89)</f>
        <v>0</v>
      </c>
      <c r="H84" s="87">
        <f t="shared" si="16"/>
        <v>2560</v>
      </c>
      <c r="I84" s="87">
        <f t="shared" si="16"/>
        <v>2560</v>
      </c>
    </row>
    <row r="85" spans="1:9" s="13" customFormat="1" ht="34.5" customHeight="1" x14ac:dyDescent="0.25">
      <c r="A85" s="7"/>
      <c r="B85" s="7"/>
      <c r="C85" s="7"/>
      <c r="D85" s="7"/>
      <c r="E85" s="34" t="s">
        <v>32</v>
      </c>
      <c r="F85" s="118">
        <f>SUM(F86)</f>
        <v>0</v>
      </c>
      <c r="G85" s="118">
        <f t="shared" ref="G85:I85" si="17">SUM(G86)</f>
        <v>0</v>
      </c>
      <c r="H85" s="118">
        <f t="shared" si="17"/>
        <v>160</v>
      </c>
      <c r="I85" s="118">
        <f t="shared" si="17"/>
        <v>160</v>
      </c>
    </row>
    <row r="86" spans="1:9" s="6" customFormat="1" ht="34.5" customHeight="1" x14ac:dyDescent="0.25">
      <c r="A86" s="7"/>
      <c r="B86" s="7"/>
      <c r="C86" s="7"/>
      <c r="D86" s="7"/>
      <c r="E86" s="35" t="s">
        <v>33</v>
      </c>
      <c r="F86" s="88">
        <v>0</v>
      </c>
      <c r="G86" s="88">
        <v>0</v>
      </c>
      <c r="H86" s="88">
        <v>160</v>
      </c>
      <c r="I86" s="88">
        <v>160</v>
      </c>
    </row>
    <row r="87" spans="1:9" s="13" customFormat="1" ht="34.5" customHeight="1" x14ac:dyDescent="0.25">
      <c r="A87" s="7"/>
      <c r="B87" s="7"/>
      <c r="C87" s="7"/>
      <c r="D87" s="7"/>
      <c r="E87" s="34" t="s">
        <v>34</v>
      </c>
      <c r="F87" s="118">
        <f>SUM(F88)</f>
        <v>0</v>
      </c>
      <c r="G87" s="118">
        <f t="shared" ref="G87:I87" si="18">SUM(G88)</f>
        <v>0</v>
      </c>
      <c r="H87" s="118">
        <f t="shared" si="18"/>
        <v>2090</v>
      </c>
      <c r="I87" s="118">
        <f t="shared" si="18"/>
        <v>2090</v>
      </c>
    </row>
    <row r="88" spans="1:9" s="6" customFormat="1" ht="34.5" customHeight="1" x14ac:dyDescent="0.25">
      <c r="A88" s="7"/>
      <c r="B88" s="7"/>
      <c r="C88" s="7"/>
      <c r="D88" s="7"/>
      <c r="E88" s="35" t="s">
        <v>35</v>
      </c>
      <c r="F88" s="88">
        <v>0</v>
      </c>
      <c r="G88" s="88">
        <v>0</v>
      </c>
      <c r="H88" s="88">
        <v>2090</v>
      </c>
      <c r="I88" s="88">
        <v>2090</v>
      </c>
    </row>
    <row r="89" spans="1:9" s="13" customFormat="1" ht="34.5" customHeight="1" x14ac:dyDescent="0.25">
      <c r="A89" s="7"/>
      <c r="B89" s="7"/>
      <c r="C89" s="7"/>
      <c r="D89" s="7"/>
      <c r="E89" s="34" t="s">
        <v>36</v>
      </c>
      <c r="F89" s="118">
        <f>SUM(F90)</f>
        <v>0</v>
      </c>
      <c r="G89" s="118">
        <f t="shared" ref="G89:I89" si="19">SUM(G90)</f>
        <v>0</v>
      </c>
      <c r="H89" s="118">
        <f t="shared" si="19"/>
        <v>310</v>
      </c>
      <c r="I89" s="118">
        <f t="shared" si="19"/>
        <v>310</v>
      </c>
    </row>
    <row r="90" spans="1:9" s="6" customFormat="1" ht="33" customHeight="1" x14ac:dyDescent="0.25">
      <c r="A90" s="7"/>
      <c r="B90" s="7"/>
      <c r="C90" s="7"/>
      <c r="D90" s="7"/>
      <c r="E90" s="35" t="s">
        <v>37</v>
      </c>
      <c r="F90" s="88">
        <v>0</v>
      </c>
      <c r="G90" s="88">
        <v>0</v>
      </c>
      <c r="H90" s="88">
        <v>310</v>
      </c>
      <c r="I90" s="88">
        <v>310</v>
      </c>
    </row>
    <row r="91" spans="1:9" s="16" customFormat="1" ht="33" x14ac:dyDescent="0.25">
      <c r="A91" s="7"/>
      <c r="B91" s="7"/>
      <c r="C91" s="7"/>
      <c r="D91" s="7"/>
      <c r="E91" s="38" t="s">
        <v>116</v>
      </c>
      <c r="F91" s="87">
        <f>SUM(F92+F94+F95+F96+F97+F98+F99+F100+F101+F102+F103+F104+F105+F106)</f>
        <v>0</v>
      </c>
      <c r="G91" s="87">
        <f t="shared" ref="G91:I91" si="20">SUM(G92+G94+G95+G96+G97+G98+G99+G100+G101+G102+G103+G104+G105+G106)</f>
        <v>0</v>
      </c>
      <c r="H91" s="87">
        <f t="shared" si="20"/>
        <v>17440</v>
      </c>
      <c r="I91" s="87">
        <f t="shared" si="20"/>
        <v>17440</v>
      </c>
    </row>
    <row r="92" spans="1:9" s="13" customFormat="1" x14ac:dyDescent="0.25">
      <c r="A92" s="7"/>
      <c r="B92" s="7"/>
      <c r="C92" s="7"/>
      <c r="D92" s="7"/>
      <c r="E92" s="37" t="s">
        <v>38</v>
      </c>
      <c r="F92" s="87">
        <f>SUM(F93)</f>
        <v>0</v>
      </c>
      <c r="G92" s="87">
        <f t="shared" ref="G92:I92" si="21">SUM(G93)</f>
        <v>0</v>
      </c>
      <c r="H92" s="87">
        <f t="shared" si="21"/>
        <v>100</v>
      </c>
      <c r="I92" s="87">
        <f t="shared" si="21"/>
        <v>100</v>
      </c>
    </row>
    <row r="93" spans="1:9" s="13" customFormat="1" ht="50.25" customHeight="1" x14ac:dyDescent="0.25">
      <c r="A93" s="7"/>
      <c r="B93" s="7"/>
      <c r="C93" s="7"/>
      <c r="D93" s="7"/>
      <c r="E93" s="36" t="s">
        <v>39</v>
      </c>
      <c r="F93" s="118">
        <v>0</v>
      </c>
      <c r="G93" s="118">
        <v>0</v>
      </c>
      <c r="H93" s="118">
        <v>100</v>
      </c>
      <c r="I93" s="118">
        <v>100</v>
      </c>
    </row>
    <row r="94" spans="1:9" s="6" customFormat="1" ht="50.25" customHeight="1" x14ac:dyDescent="0.25">
      <c r="A94" s="7"/>
      <c r="B94" s="7"/>
      <c r="C94" s="7"/>
      <c r="D94" s="7"/>
      <c r="E94" s="37" t="s">
        <v>117</v>
      </c>
      <c r="F94" s="87">
        <v>0</v>
      </c>
      <c r="G94" s="87">
        <v>0</v>
      </c>
      <c r="H94" s="87">
        <v>800</v>
      </c>
      <c r="I94" s="88">
        <v>800</v>
      </c>
    </row>
    <row r="95" spans="1:9" s="13" customFormat="1" ht="50.25" customHeight="1" x14ac:dyDescent="0.25">
      <c r="A95" s="7"/>
      <c r="B95" s="7"/>
      <c r="C95" s="7"/>
      <c r="D95" s="7"/>
      <c r="E95" s="37" t="s">
        <v>40</v>
      </c>
      <c r="F95" s="87">
        <v>0</v>
      </c>
      <c r="G95" s="87">
        <v>0</v>
      </c>
      <c r="H95" s="118">
        <v>300</v>
      </c>
      <c r="I95" s="118">
        <v>300</v>
      </c>
    </row>
    <row r="96" spans="1:9" s="6" customFormat="1" ht="50.25" customHeight="1" x14ac:dyDescent="0.25">
      <c r="A96" s="7"/>
      <c r="B96" s="7"/>
      <c r="C96" s="7"/>
      <c r="D96" s="7"/>
      <c r="E96" s="37" t="s">
        <v>41</v>
      </c>
      <c r="F96" s="87">
        <v>0</v>
      </c>
      <c r="G96" s="87">
        <v>0</v>
      </c>
      <c r="H96" s="87">
        <v>90</v>
      </c>
      <c r="I96" s="88">
        <v>90</v>
      </c>
    </row>
    <row r="97" spans="1:9" s="13" customFormat="1" ht="50.25" customHeight="1" x14ac:dyDescent="0.25">
      <c r="A97" s="7"/>
      <c r="B97" s="7"/>
      <c r="C97" s="7"/>
      <c r="D97" s="7"/>
      <c r="E97" s="37" t="s">
        <v>42</v>
      </c>
      <c r="F97" s="87">
        <v>0</v>
      </c>
      <c r="G97" s="87">
        <v>0</v>
      </c>
      <c r="H97" s="118">
        <v>1180</v>
      </c>
      <c r="I97" s="118">
        <v>1180</v>
      </c>
    </row>
    <row r="98" spans="1:9" s="6" customFormat="1" ht="36" customHeight="1" x14ac:dyDescent="0.25">
      <c r="A98" s="7"/>
      <c r="B98" s="7"/>
      <c r="C98" s="7"/>
      <c r="D98" s="7"/>
      <c r="E98" s="37" t="s">
        <v>43</v>
      </c>
      <c r="F98" s="87">
        <v>0</v>
      </c>
      <c r="G98" s="87">
        <v>0</v>
      </c>
      <c r="H98" s="87">
        <v>2010</v>
      </c>
      <c r="I98" s="88">
        <v>2010</v>
      </c>
    </row>
    <row r="99" spans="1:9" s="13" customFormat="1" ht="36" customHeight="1" x14ac:dyDescent="0.25">
      <c r="A99" s="7"/>
      <c r="B99" s="7"/>
      <c r="C99" s="7"/>
      <c r="D99" s="7"/>
      <c r="E99" s="37" t="s">
        <v>44</v>
      </c>
      <c r="F99" s="87">
        <v>0</v>
      </c>
      <c r="G99" s="87">
        <v>0</v>
      </c>
      <c r="H99" s="118">
        <v>1780</v>
      </c>
      <c r="I99" s="118">
        <v>1780</v>
      </c>
    </row>
    <row r="100" spans="1:9" s="6" customFormat="1" ht="36" customHeight="1" x14ac:dyDescent="0.25">
      <c r="A100" s="7"/>
      <c r="B100" s="7"/>
      <c r="C100" s="7"/>
      <c r="D100" s="7"/>
      <c r="E100" s="37" t="s">
        <v>45</v>
      </c>
      <c r="F100" s="87">
        <v>0</v>
      </c>
      <c r="G100" s="87">
        <v>0</v>
      </c>
      <c r="H100" s="87">
        <v>3000</v>
      </c>
      <c r="I100" s="88">
        <v>3000</v>
      </c>
    </row>
    <row r="101" spans="1:9" s="16" customFormat="1" ht="59.25" customHeight="1" x14ac:dyDescent="0.25">
      <c r="A101" s="7"/>
      <c r="B101" s="7"/>
      <c r="C101" s="7"/>
      <c r="D101" s="7"/>
      <c r="E101" s="37" t="s">
        <v>118</v>
      </c>
      <c r="F101" s="87">
        <v>0</v>
      </c>
      <c r="G101" s="87">
        <v>0</v>
      </c>
      <c r="H101" s="87">
        <v>130</v>
      </c>
      <c r="I101" s="87">
        <v>130</v>
      </c>
    </row>
    <row r="102" spans="1:9" s="16" customFormat="1" ht="36" customHeight="1" x14ac:dyDescent="0.25">
      <c r="A102" s="7"/>
      <c r="B102" s="7"/>
      <c r="C102" s="7"/>
      <c r="D102" s="7"/>
      <c r="E102" s="37" t="s">
        <v>46</v>
      </c>
      <c r="F102" s="87">
        <v>0</v>
      </c>
      <c r="G102" s="87">
        <v>0</v>
      </c>
      <c r="H102" s="87">
        <v>350</v>
      </c>
      <c r="I102" s="87">
        <v>350</v>
      </c>
    </row>
    <row r="103" spans="1:9" s="13" customFormat="1" ht="36" customHeight="1" x14ac:dyDescent="0.25">
      <c r="A103" s="7"/>
      <c r="B103" s="7"/>
      <c r="C103" s="7"/>
      <c r="D103" s="7"/>
      <c r="E103" s="37" t="s">
        <v>47</v>
      </c>
      <c r="F103" s="87">
        <v>0</v>
      </c>
      <c r="G103" s="87">
        <v>0</v>
      </c>
      <c r="H103" s="118">
        <v>3610</v>
      </c>
      <c r="I103" s="118">
        <v>3610</v>
      </c>
    </row>
    <row r="104" spans="1:9" s="6" customFormat="1" ht="33" customHeight="1" x14ac:dyDescent="0.25">
      <c r="A104" s="7"/>
      <c r="B104" s="7"/>
      <c r="C104" s="7"/>
      <c r="D104" s="7"/>
      <c r="E104" s="37" t="s">
        <v>119</v>
      </c>
      <c r="F104" s="87">
        <v>0</v>
      </c>
      <c r="G104" s="87">
        <v>0</v>
      </c>
      <c r="H104" s="87">
        <v>900</v>
      </c>
      <c r="I104" s="88">
        <v>900</v>
      </c>
    </row>
    <row r="105" spans="1:9" s="13" customFormat="1" ht="48" customHeight="1" x14ac:dyDescent="0.25">
      <c r="A105" s="7"/>
      <c r="B105" s="7"/>
      <c r="C105" s="7"/>
      <c r="D105" s="7"/>
      <c r="E105" s="37" t="s">
        <v>120</v>
      </c>
      <c r="F105" s="87">
        <v>0</v>
      </c>
      <c r="G105" s="87">
        <v>0</v>
      </c>
      <c r="H105" s="118">
        <v>1690</v>
      </c>
      <c r="I105" s="118">
        <v>1690</v>
      </c>
    </row>
    <row r="106" spans="1:9" s="13" customFormat="1" ht="48" customHeight="1" x14ac:dyDescent="0.25">
      <c r="A106" s="7"/>
      <c r="B106" s="7"/>
      <c r="C106" s="7"/>
      <c r="D106" s="7"/>
      <c r="E106" s="37" t="s">
        <v>121</v>
      </c>
      <c r="F106" s="87">
        <v>0</v>
      </c>
      <c r="G106" s="87">
        <v>0</v>
      </c>
      <c r="H106" s="118">
        <v>1500</v>
      </c>
      <c r="I106" s="118">
        <v>1500</v>
      </c>
    </row>
    <row r="107" spans="1:9" s="13" customFormat="1" ht="33" customHeight="1" x14ac:dyDescent="0.25">
      <c r="A107" s="41"/>
      <c r="B107" s="41"/>
      <c r="C107" s="41"/>
      <c r="D107" s="41"/>
      <c r="E107" s="42" t="s">
        <v>125</v>
      </c>
      <c r="F107" s="118">
        <f>SUM(F108+F128+F135)</f>
        <v>0</v>
      </c>
      <c r="G107" s="118">
        <f t="shared" ref="G107:I107" si="22">SUM(G108+G128+G135)</f>
        <v>0</v>
      </c>
      <c r="H107" s="118">
        <f t="shared" si="22"/>
        <v>36930</v>
      </c>
      <c r="I107" s="118">
        <f t="shared" si="22"/>
        <v>36930</v>
      </c>
    </row>
    <row r="108" spans="1:9" s="13" customFormat="1" ht="33" customHeight="1" x14ac:dyDescent="0.25">
      <c r="A108" s="41"/>
      <c r="B108" s="41"/>
      <c r="C108" s="41"/>
      <c r="D108" s="41"/>
      <c r="E108" s="38" t="s">
        <v>108</v>
      </c>
      <c r="F108" s="118">
        <f>SUM(F109+F117+F120+F122+F124+F126)</f>
        <v>0</v>
      </c>
      <c r="G108" s="118">
        <f t="shared" ref="G108:I108" si="23">SUM(G109+G117+G120+G122+G124+G126)</f>
        <v>0</v>
      </c>
      <c r="H108" s="118">
        <f t="shared" si="23"/>
        <v>22490</v>
      </c>
      <c r="I108" s="118">
        <f t="shared" si="23"/>
        <v>22490</v>
      </c>
    </row>
    <row r="109" spans="1:9" s="13" customFormat="1" ht="18" customHeight="1" x14ac:dyDescent="0.25">
      <c r="A109" s="41"/>
      <c r="B109" s="41"/>
      <c r="C109" s="41"/>
      <c r="D109" s="41"/>
      <c r="E109" s="37" t="s">
        <v>18</v>
      </c>
      <c r="F109" s="118">
        <f>SUM(F110:F116)</f>
        <v>0</v>
      </c>
      <c r="G109" s="118">
        <f t="shared" ref="G109:I109" si="24">SUM(G110:G116)</f>
        <v>0</v>
      </c>
      <c r="H109" s="118">
        <f t="shared" si="24"/>
        <v>5970</v>
      </c>
      <c r="I109" s="118">
        <f t="shared" si="24"/>
        <v>5970</v>
      </c>
    </row>
    <row r="110" spans="1:9" s="13" customFormat="1" ht="33" customHeight="1" x14ac:dyDescent="0.25">
      <c r="A110" s="41"/>
      <c r="B110" s="41"/>
      <c r="C110" s="41"/>
      <c r="D110" s="41"/>
      <c r="E110" s="36" t="s">
        <v>19</v>
      </c>
      <c r="F110" s="118">
        <v>0</v>
      </c>
      <c r="G110" s="118">
        <v>0</v>
      </c>
      <c r="H110" s="118">
        <v>1010</v>
      </c>
      <c r="I110" s="118">
        <v>1010</v>
      </c>
    </row>
    <row r="111" spans="1:9" s="13" customFormat="1" ht="33" customHeight="1" x14ac:dyDescent="0.25">
      <c r="A111" s="41"/>
      <c r="B111" s="41"/>
      <c r="C111" s="41"/>
      <c r="D111" s="41"/>
      <c r="E111" s="36" t="s">
        <v>20</v>
      </c>
      <c r="F111" s="118">
        <v>0</v>
      </c>
      <c r="G111" s="118">
        <v>0</v>
      </c>
      <c r="H111" s="87">
        <v>310</v>
      </c>
      <c r="I111" s="87">
        <v>310</v>
      </c>
    </row>
    <row r="112" spans="1:9" s="13" customFormat="1" ht="33" customHeight="1" x14ac:dyDescent="0.25">
      <c r="A112" s="41"/>
      <c r="B112" s="41"/>
      <c r="C112" s="41"/>
      <c r="D112" s="41"/>
      <c r="E112" s="36" t="s">
        <v>21</v>
      </c>
      <c r="F112" s="118">
        <v>0</v>
      </c>
      <c r="G112" s="118">
        <v>0</v>
      </c>
      <c r="H112" s="87">
        <v>1260</v>
      </c>
      <c r="I112" s="87">
        <v>1260</v>
      </c>
    </row>
    <row r="113" spans="1:9" s="13" customFormat="1" ht="33" customHeight="1" x14ac:dyDescent="0.25">
      <c r="A113" s="41"/>
      <c r="B113" s="41"/>
      <c r="C113" s="41"/>
      <c r="D113" s="41"/>
      <c r="E113" s="36" t="s">
        <v>22</v>
      </c>
      <c r="F113" s="118">
        <v>0</v>
      </c>
      <c r="G113" s="118">
        <v>0</v>
      </c>
      <c r="H113" s="87">
        <v>1590</v>
      </c>
      <c r="I113" s="87">
        <v>1590</v>
      </c>
    </row>
    <row r="114" spans="1:9" s="13" customFormat="1" ht="34.5" customHeight="1" x14ac:dyDescent="0.25">
      <c r="A114" s="41"/>
      <c r="B114" s="41"/>
      <c r="C114" s="41"/>
      <c r="D114" s="41"/>
      <c r="E114" s="36" t="s">
        <v>109</v>
      </c>
      <c r="F114" s="118">
        <v>0</v>
      </c>
      <c r="G114" s="118">
        <v>0</v>
      </c>
      <c r="H114" s="87">
        <v>960</v>
      </c>
      <c r="I114" s="87">
        <v>960</v>
      </c>
    </row>
    <row r="115" spans="1:9" s="16" customFormat="1" ht="34.5" customHeight="1" x14ac:dyDescent="0.25">
      <c r="A115" s="41"/>
      <c r="B115" s="41"/>
      <c r="C115" s="41"/>
      <c r="D115" s="41"/>
      <c r="E115" s="36" t="s">
        <v>23</v>
      </c>
      <c r="F115" s="118">
        <v>0</v>
      </c>
      <c r="G115" s="118">
        <v>0</v>
      </c>
      <c r="H115" s="87">
        <v>450</v>
      </c>
      <c r="I115" s="87">
        <v>450</v>
      </c>
    </row>
    <row r="116" spans="1:9" s="13" customFormat="1" ht="34.5" customHeight="1" x14ac:dyDescent="0.25">
      <c r="A116" s="41"/>
      <c r="B116" s="41"/>
      <c r="C116" s="41"/>
      <c r="D116" s="41"/>
      <c r="E116" s="36" t="s">
        <v>24</v>
      </c>
      <c r="F116" s="118">
        <v>0</v>
      </c>
      <c r="G116" s="118">
        <v>0</v>
      </c>
      <c r="H116" s="87">
        <v>390</v>
      </c>
      <c r="I116" s="87">
        <v>390</v>
      </c>
    </row>
    <row r="117" spans="1:9" s="13" customFormat="1" ht="34.5" customHeight="1" x14ac:dyDescent="0.25">
      <c r="A117" s="41"/>
      <c r="B117" s="41"/>
      <c r="C117" s="41"/>
      <c r="D117" s="41"/>
      <c r="E117" s="37" t="s">
        <v>25</v>
      </c>
      <c r="F117" s="118">
        <f>SUM(F118:F119)</f>
        <v>0</v>
      </c>
      <c r="G117" s="118">
        <f t="shared" ref="G117:I117" si="25">SUM(G118:G119)</f>
        <v>0</v>
      </c>
      <c r="H117" s="118">
        <f t="shared" si="25"/>
        <v>7230</v>
      </c>
      <c r="I117" s="118">
        <f t="shared" si="25"/>
        <v>7230</v>
      </c>
    </row>
    <row r="118" spans="1:9" s="16" customFormat="1" ht="49.5" customHeight="1" x14ac:dyDescent="0.25">
      <c r="A118" s="41"/>
      <c r="B118" s="41"/>
      <c r="C118" s="41"/>
      <c r="D118" s="41"/>
      <c r="E118" s="36" t="s">
        <v>110</v>
      </c>
      <c r="F118" s="17">
        <v>0</v>
      </c>
      <c r="G118" s="17">
        <v>0</v>
      </c>
      <c r="H118" s="87">
        <v>5140</v>
      </c>
      <c r="I118" s="87">
        <v>5140</v>
      </c>
    </row>
    <row r="119" spans="1:9" s="13" customFormat="1" ht="49.5" customHeight="1" x14ac:dyDescent="0.25">
      <c r="A119" s="41"/>
      <c r="B119" s="41"/>
      <c r="C119" s="41"/>
      <c r="D119" s="41"/>
      <c r="E119" s="36" t="s">
        <v>111</v>
      </c>
      <c r="F119" s="118">
        <v>0</v>
      </c>
      <c r="G119" s="118">
        <v>0</v>
      </c>
      <c r="H119" s="87">
        <v>2090</v>
      </c>
      <c r="I119" s="87">
        <v>2090</v>
      </c>
    </row>
    <row r="120" spans="1:9" s="16" customFormat="1" ht="34.5" customHeight="1" x14ac:dyDescent="0.25">
      <c r="A120" s="41"/>
      <c r="B120" s="41"/>
      <c r="C120" s="41"/>
      <c r="D120" s="41"/>
      <c r="E120" s="37" t="s">
        <v>26</v>
      </c>
      <c r="F120" s="118">
        <f>SUM(F121)</f>
        <v>0</v>
      </c>
      <c r="G120" s="118">
        <f t="shared" ref="G120:I120" si="26">SUM(G121)</f>
        <v>0</v>
      </c>
      <c r="H120" s="118">
        <f t="shared" si="26"/>
        <v>110</v>
      </c>
      <c r="I120" s="118">
        <f t="shared" si="26"/>
        <v>110</v>
      </c>
    </row>
    <row r="121" spans="1:9" s="16" customFormat="1" ht="59.25" customHeight="1" x14ac:dyDescent="0.25">
      <c r="A121" s="41"/>
      <c r="B121" s="41"/>
      <c r="C121" s="41"/>
      <c r="D121" s="41"/>
      <c r="E121" s="36" t="s">
        <v>27</v>
      </c>
      <c r="F121" s="17">
        <v>0</v>
      </c>
      <c r="G121" s="17">
        <v>0</v>
      </c>
      <c r="H121" s="17">
        <v>110</v>
      </c>
      <c r="I121" s="87">
        <v>110</v>
      </c>
    </row>
    <row r="122" spans="1:9" s="13" customFormat="1" ht="48" customHeight="1" x14ac:dyDescent="0.25">
      <c r="A122" s="41"/>
      <c r="B122" s="41"/>
      <c r="C122" s="41"/>
      <c r="D122" s="41"/>
      <c r="E122" s="37" t="s">
        <v>28</v>
      </c>
      <c r="F122" s="118">
        <f>SUM(F123)</f>
        <v>0</v>
      </c>
      <c r="G122" s="118">
        <f t="shared" ref="G122:I122" si="27">SUM(G123)</f>
        <v>0</v>
      </c>
      <c r="H122" s="118">
        <f t="shared" si="27"/>
        <v>10</v>
      </c>
      <c r="I122" s="118">
        <f t="shared" si="27"/>
        <v>10</v>
      </c>
    </row>
    <row r="123" spans="1:9" s="13" customFormat="1" ht="33" customHeight="1" x14ac:dyDescent="0.25">
      <c r="A123" s="41"/>
      <c r="B123" s="41"/>
      <c r="C123" s="41"/>
      <c r="D123" s="41"/>
      <c r="E123" s="36" t="s">
        <v>29</v>
      </c>
      <c r="F123" s="118">
        <v>0</v>
      </c>
      <c r="G123" s="118">
        <v>0</v>
      </c>
      <c r="H123" s="118">
        <v>10</v>
      </c>
      <c r="I123" s="87">
        <v>10</v>
      </c>
    </row>
    <row r="124" spans="1:9" s="13" customFormat="1" ht="33" customHeight="1" x14ac:dyDescent="0.25">
      <c r="A124" s="41"/>
      <c r="B124" s="41"/>
      <c r="C124" s="41"/>
      <c r="D124" s="41"/>
      <c r="E124" s="37" t="s">
        <v>30</v>
      </c>
      <c r="F124" s="118">
        <f>SUM(F125)</f>
        <v>0</v>
      </c>
      <c r="G124" s="118">
        <f t="shared" ref="G124:I124" si="28">SUM(G125)</f>
        <v>0</v>
      </c>
      <c r="H124" s="118">
        <f t="shared" si="28"/>
        <v>170</v>
      </c>
      <c r="I124" s="118">
        <f t="shared" si="28"/>
        <v>170</v>
      </c>
    </row>
    <row r="125" spans="1:9" s="13" customFormat="1" ht="48" customHeight="1" x14ac:dyDescent="0.25">
      <c r="A125" s="41"/>
      <c r="B125" s="41"/>
      <c r="C125" s="41"/>
      <c r="D125" s="41"/>
      <c r="E125" s="36" t="s">
        <v>112</v>
      </c>
      <c r="F125" s="118">
        <v>0</v>
      </c>
      <c r="G125" s="118">
        <v>0</v>
      </c>
      <c r="H125" s="118">
        <v>170</v>
      </c>
      <c r="I125" s="87">
        <v>170</v>
      </c>
    </row>
    <row r="126" spans="1:9" s="13" customFormat="1" ht="33" customHeight="1" x14ac:dyDescent="0.25">
      <c r="A126" s="41"/>
      <c r="B126" s="41"/>
      <c r="C126" s="41"/>
      <c r="D126" s="41"/>
      <c r="E126" s="37" t="s">
        <v>113</v>
      </c>
      <c r="F126" s="118">
        <f>SUM(F127)</f>
        <v>0</v>
      </c>
      <c r="G126" s="118">
        <f t="shared" ref="G126:I126" si="29">SUM(G127)</f>
        <v>0</v>
      </c>
      <c r="H126" s="118">
        <f t="shared" si="29"/>
        <v>9000</v>
      </c>
      <c r="I126" s="118">
        <f t="shared" si="29"/>
        <v>9000</v>
      </c>
    </row>
    <row r="127" spans="1:9" s="13" customFormat="1" ht="48" customHeight="1" x14ac:dyDescent="0.25">
      <c r="A127" s="41"/>
      <c r="B127" s="41"/>
      <c r="C127" s="41"/>
      <c r="D127" s="41"/>
      <c r="E127" s="36" t="s">
        <v>31</v>
      </c>
      <c r="F127" s="118">
        <v>0</v>
      </c>
      <c r="G127" s="118">
        <v>0</v>
      </c>
      <c r="H127" s="118">
        <v>9000</v>
      </c>
      <c r="I127" s="87">
        <v>9000</v>
      </c>
    </row>
    <row r="128" spans="1:9" s="13" customFormat="1" ht="33" customHeight="1" x14ac:dyDescent="0.25">
      <c r="A128" s="41"/>
      <c r="B128" s="41"/>
      <c r="C128" s="41"/>
      <c r="D128" s="41"/>
      <c r="E128" s="38" t="s">
        <v>115</v>
      </c>
      <c r="F128" s="118">
        <f>SUM(F129+F131+F133)</f>
        <v>0</v>
      </c>
      <c r="G128" s="118">
        <f t="shared" ref="G128:I128" si="30">SUM(G129+G131+G133)</f>
        <v>0</v>
      </c>
      <c r="H128" s="118">
        <f t="shared" si="30"/>
        <v>2710</v>
      </c>
      <c r="I128" s="118">
        <f t="shared" si="30"/>
        <v>2710</v>
      </c>
    </row>
    <row r="129" spans="1:9" s="18" customFormat="1" ht="33" x14ac:dyDescent="0.25">
      <c r="A129" s="41"/>
      <c r="B129" s="41"/>
      <c r="C129" s="41"/>
      <c r="D129" s="41"/>
      <c r="E129" s="37" t="s">
        <v>32</v>
      </c>
      <c r="F129" s="118">
        <f>SUM(F130)</f>
        <v>0</v>
      </c>
      <c r="G129" s="118">
        <f t="shared" ref="G129:I129" si="31">SUM(G130)</f>
        <v>0</v>
      </c>
      <c r="H129" s="118">
        <f t="shared" si="31"/>
        <v>1260</v>
      </c>
      <c r="I129" s="118">
        <f t="shared" si="31"/>
        <v>1260</v>
      </c>
    </row>
    <row r="130" spans="1:9" s="16" customFormat="1" ht="18" customHeight="1" x14ac:dyDescent="0.25">
      <c r="A130" s="41"/>
      <c r="B130" s="41"/>
      <c r="C130" s="41"/>
      <c r="D130" s="41"/>
      <c r="E130" s="36" t="s">
        <v>33</v>
      </c>
      <c r="F130" s="118">
        <v>0</v>
      </c>
      <c r="G130" s="118">
        <v>0</v>
      </c>
      <c r="H130" s="118">
        <v>1260</v>
      </c>
      <c r="I130" s="87">
        <v>1260</v>
      </c>
    </row>
    <row r="131" spans="1:9" s="13" customFormat="1" x14ac:dyDescent="0.25">
      <c r="A131" s="41"/>
      <c r="B131" s="41"/>
      <c r="C131" s="41"/>
      <c r="D131" s="41"/>
      <c r="E131" s="37" t="s">
        <v>34</v>
      </c>
      <c r="F131" s="87">
        <f>SUM(F132)</f>
        <v>0</v>
      </c>
      <c r="G131" s="87">
        <f t="shared" ref="G131:I131" si="32">SUM(G132)</f>
        <v>0</v>
      </c>
      <c r="H131" s="87">
        <f t="shared" si="32"/>
        <v>1260</v>
      </c>
      <c r="I131" s="87">
        <f t="shared" si="32"/>
        <v>1260</v>
      </c>
    </row>
    <row r="132" spans="1:9" s="16" customFormat="1" ht="33" customHeight="1" x14ac:dyDescent="0.25">
      <c r="A132" s="41"/>
      <c r="B132" s="41"/>
      <c r="C132" s="41"/>
      <c r="D132" s="41"/>
      <c r="E132" s="36" t="s">
        <v>35</v>
      </c>
      <c r="F132" s="87">
        <v>0</v>
      </c>
      <c r="G132" s="87">
        <v>0</v>
      </c>
      <c r="H132" s="87">
        <v>1260</v>
      </c>
      <c r="I132" s="87">
        <v>1260</v>
      </c>
    </row>
    <row r="133" spans="1:9" ht="33" x14ac:dyDescent="0.25">
      <c r="A133" s="41"/>
      <c r="B133" s="41"/>
      <c r="C133" s="41"/>
      <c r="D133" s="41"/>
      <c r="E133" s="37" t="s">
        <v>36</v>
      </c>
      <c r="F133" s="87">
        <f>SUM(F134)</f>
        <v>0</v>
      </c>
      <c r="G133" s="87">
        <f t="shared" ref="G133:I133" si="33">SUM(G134)</f>
        <v>0</v>
      </c>
      <c r="H133" s="87">
        <f t="shared" si="33"/>
        <v>190</v>
      </c>
      <c r="I133" s="87">
        <f t="shared" si="33"/>
        <v>190</v>
      </c>
    </row>
    <row r="134" spans="1:9" x14ac:dyDescent="0.25">
      <c r="A134" s="41"/>
      <c r="B134" s="41"/>
      <c r="C134" s="41"/>
      <c r="D134" s="41"/>
      <c r="E134" s="36" t="s">
        <v>37</v>
      </c>
      <c r="F134" s="87">
        <v>0</v>
      </c>
      <c r="G134" s="87">
        <v>0</v>
      </c>
      <c r="H134" s="87">
        <v>190</v>
      </c>
      <c r="I134" s="87">
        <v>190</v>
      </c>
    </row>
    <row r="135" spans="1:9" ht="33" x14ac:dyDescent="0.25">
      <c r="A135" s="41"/>
      <c r="B135" s="41"/>
      <c r="C135" s="41"/>
      <c r="D135" s="41"/>
      <c r="E135" s="38" t="s">
        <v>116</v>
      </c>
      <c r="F135" s="87">
        <f>SUM(F136+F138+F139+F140+F141+F142+F143+F144+F145+F146+F147+F148+F149+F150)</f>
        <v>0</v>
      </c>
      <c r="G135" s="87">
        <f t="shared" ref="G135:I135" si="34">SUM(G136+G138+G139+G140+G141+G142+G143+G144+G145+G146+G147+G148+G149+G150)</f>
        <v>0</v>
      </c>
      <c r="H135" s="87">
        <f t="shared" si="34"/>
        <v>11730</v>
      </c>
      <c r="I135" s="87">
        <f t="shared" si="34"/>
        <v>11730</v>
      </c>
    </row>
    <row r="136" spans="1:9" x14ac:dyDescent="0.25">
      <c r="A136" s="41"/>
      <c r="B136" s="41"/>
      <c r="C136" s="41"/>
      <c r="D136" s="41"/>
      <c r="E136" s="37" t="s">
        <v>38</v>
      </c>
      <c r="F136" s="87">
        <f>SUM(F137)</f>
        <v>0</v>
      </c>
      <c r="G136" s="87">
        <f t="shared" ref="G136:I136" si="35">SUM(G137)</f>
        <v>0</v>
      </c>
      <c r="H136" s="87">
        <f t="shared" si="35"/>
        <v>390</v>
      </c>
      <c r="I136" s="87">
        <f t="shared" si="35"/>
        <v>390</v>
      </c>
    </row>
    <row r="137" spans="1:9" ht="33" x14ac:dyDescent="0.25">
      <c r="A137" s="41"/>
      <c r="B137" s="41"/>
      <c r="C137" s="41"/>
      <c r="D137" s="41"/>
      <c r="E137" s="36" t="s">
        <v>39</v>
      </c>
      <c r="F137" s="87">
        <v>0</v>
      </c>
      <c r="G137" s="87">
        <v>0</v>
      </c>
      <c r="H137" s="87">
        <v>390</v>
      </c>
      <c r="I137" s="87">
        <v>390</v>
      </c>
    </row>
    <row r="138" spans="1:9" ht="49.5" x14ac:dyDescent="0.25">
      <c r="A138" s="41"/>
      <c r="B138" s="41"/>
      <c r="C138" s="41"/>
      <c r="D138" s="41"/>
      <c r="E138" s="37" t="s">
        <v>117</v>
      </c>
      <c r="F138" s="87">
        <v>0</v>
      </c>
      <c r="G138" s="87">
        <v>0</v>
      </c>
      <c r="H138" s="87">
        <v>480</v>
      </c>
      <c r="I138" s="87">
        <v>480</v>
      </c>
    </row>
    <row r="139" spans="1:9" ht="49.5" x14ac:dyDescent="0.25">
      <c r="A139" s="41"/>
      <c r="B139" s="41"/>
      <c r="C139" s="41"/>
      <c r="D139" s="41"/>
      <c r="E139" s="37" t="s">
        <v>40</v>
      </c>
      <c r="F139" s="87">
        <v>0</v>
      </c>
      <c r="G139" s="87">
        <v>0</v>
      </c>
      <c r="H139" s="87">
        <v>180</v>
      </c>
      <c r="I139" s="87">
        <v>180</v>
      </c>
    </row>
    <row r="140" spans="1:9" ht="49.5" x14ac:dyDescent="0.25">
      <c r="A140" s="41"/>
      <c r="B140" s="41"/>
      <c r="C140" s="41"/>
      <c r="D140" s="41"/>
      <c r="E140" s="37" t="s">
        <v>41</v>
      </c>
      <c r="F140" s="87">
        <v>0</v>
      </c>
      <c r="G140" s="87">
        <v>0</v>
      </c>
      <c r="H140" s="87">
        <v>600</v>
      </c>
      <c r="I140" s="87">
        <v>600</v>
      </c>
    </row>
    <row r="141" spans="1:9" x14ac:dyDescent="0.25">
      <c r="A141" s="41"/>
      <c r="B141" s="41"/>
      <c r="C141" s="41"/>
      <c r="D141" s="41"/>
      <c r="E141" s="37" t="s">
        <v>42</v>
      </c>
      <c r="F141" s="87">
        <v>0</v>
      </c>
      <c r="G141" s="87">
        <v>0</v>
      </c>
      <c r="H141" s="87">
        <v>710</v>
      </c>
      <c r="I141" s="87">
        <v>710</v>
      </c>
    </row>
    <row r="142" spans="1:9" ht="33" x14ac:dyDescent="0.25">
      <c r="A142" s="41"/>
      <c r="B142" s="41"/>
      <c r="C142" s="41"/>
      <c r="D142" s="41"/>
      <c r="E142" s="37" t="s">
        <v>43</v>
      </c>
      <c r="F142" s="87">
        <v>0</v>
      </c>
      <c r="G142" s="87">
        <v>0</v>
      </c>
      <c r="H142" s="87">
        <v>1210</v>
      </c>
      <c r="I142" s="87">
        <v>1210</v>
      </c>
    </row>
    <row r="143" spans="1:9" ht="33" x14ac:dyDescent="0.25">
      <c r="A143" s="41"/>
      <c r="B143" s="41"/>
      <c r="C143" s="41"/>
      <c r="D143" s="41"/>
      <c r="E143" s="37" t="s">
        <v>44</v>
      </c>
      <c r="F143" s="87">
        <v>0</v>
      </c>
      <c r="G143" s="87">
        <v>0</v>
      </c>
      <c r="H143" s="87">
        <v>1180</v>
      </c>
      <c r="I143" s="87">
        <v>1180</v>
      </c>
    </row>
    <row r="144" spans="1:9" ht="33" x14ac:dyDescent="0.25">
      <c r="A144" s="41"/>
      <c r="B144" s="41"/>
      <c r="C144" s="41"/>
      <c r="D144" s="41"/>
      <c r="E144" s="37" t="s">
        <v>45</v>
      </c>
      <c r="F144" s="87">
        <v>0</v>
      </c>
      <c r="G144" s="87">
        <v>0</v>
      </c>
      <c r="H144" s="87">
        <v>1790</v>
      </c>
      <c r="I144" s="87">
        <v>1790</v>
      </c>
    </row>
    <row r="145" spans="1:9" ht="49.5" x14ac:dyDescent="0.25">
      <c r="A145" s="41"/>
      <c r="B145" s="41"/>
      <c r="C145" s="41"/>
      <c r="D145" s="41"/>
      <c r="E145" s="37" t="s">
        <v>118</v>
      </c>
      <c r="F145" s="87">
        <v>0</v>
      </c>
      <c r="G145" s="87">
        <v>0</v>
      </c>
      <c r="H145" s="87">
        <v>80</v>
      </c>
      <c r="I145" s="87">
        <v>80</v>
      </c>
    </row>
    <row r="146" spans="1:9" ht="33" x14ac:dyDescent="0.25">
      <c r="A146" s="41"/>
      <c r="B146" s="41"/>
      <c r="C146" s="41"/>
      <c r="D146" s="41"/>
      <c r="E146" s="37" t="s">
        <v>46</v>
      </c>
      <c r="F146" s="87">
        <v>0</v>
      </c>
      <c r="G146" s="87">
        <v>0</v>
      </c>
      <c r="H146" s="87">
        <v>210</v>
      </c>
      <c r="I146" s="87">
        <v>210</v>
      </c>
    </row>
    <row r="147" spans="1:9" x14ac:dyDescent="0.25">
      <c r="A147" s="41"/>
      <c r="B147" s="41"/>
      <c r="C147" s="41"/>
      <c r="D147" s="41"/>
      <c r="E147" s="37" t="s">
        <v>47</v>
      </c>
      <c r="F147" s="87">
        <v>0</v>
      </c>
      <c r="G147" s="87">
        <v>0</v>
      </c>
      <c r="H147" s="87">
        <v>2160</v>
      </c>
      <c r="I147" s="87">
        <v>2160</v>
      </c>
    </row>
    <row r="148" spans="1:9" ht="49.5" x14ac:dyDescent="0.25">
      <c r="A148" s="41"/>
      <c r="B148" s="41"/>
      <c r="C148" s="41"/>
      <c r="D148" s="41"/>
      <c r="E148" s="37" t="s">
        <v>119</v>
      </c>
      <c r="F148" s="87">
        <v>0</v>
      </c>
      <c r="G148" s="87">
        <v>0</v>
      </c>
      <c r="H148" s="87">
        <v>540</v>
      </c>
      <c r="I148" s="87">
        <v>540</v>
      </c>
    </row>
    <row r="149" spans="1:9" ht="33" x14ac:dyDescent="0.25">
      <c r="A149" s="41"/>
      <c r="B149" s="41"/>
      <c r="C149" s="41"/>
      <c r="D149" s="41"/>
      <c r="E149" s="37" t="s">
        <v>120</v>
      </c>
      <c r="F149" s="87">
        <v>0</v>
      </c>
      <c r="G149" s="87">
        <v>0</v>
      </c>
      <c r="H149" s="87">
        <v>1300</v>
      </c>
      <c r="I149" s="87">
        <v>1300</v>
      </c>
    </row>
    <row r="150" spans="1:9" x14ac:dyDescent="0.25">
      <c r="A150" s="41"/>
      <c r="B150" s="41"/>
      <c r="C150" s="41"/>
      <c r="D150" s="41"/>
      <c r="E150" s="37" t="s">
        <v>121</v>
      </c>
      <c r="F150" s="87">
        <v>0</v>
      </c>
      <c r="G150" s="87">
        <v>0</v>
      </c>
      <c r="H150" s="87">
        <v>900</v>
      </c>
      <c r="I150" s="87">
        <v>900</v>
      </c>
    </row>
    <row r="151" spans="1:9" ht="49.5" x14ac:dyDescent="0.25">
      <c r="A151" s="41"/>
      <c r="B151" s="41"/>
      <c r="C151" s="41"/>
      <c r="D151" s="41"/>
      <c r="E151" s="51" t="s">
        <v>153</v>
      </c>
      <c r="F151" s="87">
        <f>SUM(F152+F159+F161)</f>
        <v>0</v>
      </c>
      <c r="G151" s="87">
        <f t="shared" ref="G151" si="36">SUM(G152+G159+G161)</f>
        <v>0</v>
      </c>
      <c r="H151" s="87">
        <f>SUM(H152+H159+H161)</f>
        <v>73910</v>
      </c>
      <c r="I151" s="87">
        <f>SUM(I152+I159+I161)</f>
        <v>73910</v>
      </c>
    </row>
    <row r="152" spans="1:9" ht="33" x14ac:dyDescent="0.25">
      <c r="A152" s="41"/>
      <c r="B152" s="41"/>
      <c r="C152" s="41"/>
      <c r="D152" s="41"/>
      <c r="E152" s="37" t="s">
        <v>108</v>
      </c>
      <c r="F152" s="87">
        <f>SUM(F153+F155+F157)</f>
        <v>0</v>
      </c>
      <c r="G152" s="87">
        <f t="shared" ref="G152" si="37">SUM(G153+G155+G157)</f>
        <v>0</v>
      </c>
      <c r="H152" s="87">
        <f>SUM(H153+H155+H157)</f>
        <v>40150</v>
      </c>
      <c r="I152" s="87">
        <f>SUM(I153+I155+I157)</f>
        <v>40150</v>
      </c>
    </row>
    <row r="153" spans="1:9" ht="33" x14ac:dyDescent="0.25">
      <c r="A153" s="41"/>
      <c r="B153" s="41"/>
      <c r="C153" s="41"/>
      <c r="D153" s="41"/>
      <c r="E153" s="37" t="s">
        <v>25</v>
      </c>
      <c r="F153" s="87">
        <f t="shared" ref="F153:G153" si="38">SUM(F154+F156+F158)</f>
        <v>0</v>
      </c>
      <c r="G153" s="87">
        <f t="shared" si="38"/>
        <v>0</v>
      </c>
      <c r="H153" s="87">
        <f>SUM(H154)</f>
        <v>350</v>
      </c>
      <c r="I153" s="87">
        <v>350</v>
      </c>
    </row>
    <row r="154" spans="1:9" ht="33" x14ac:dyDescent="0.25">
      <c r="A154" s="41"/>
      <c r="B154" s="41"/>
      <c r="C154" s="41"/>
      <c r="D154" s="41"/>
      <c r="E154" s="36" t="s">
        <v>127</v>
      </c>
      <c r="F154" s="87">
        <f t="shared" ref="F154:G154" si="39">SUM(F155+F157+F159)</f>
        <v>0</v>
      </c>
      <c r="G154" s="87">
        <f t="shared" si="39"/>
        <v>0</v>
      </c>
      <c r="H154" s="87">
        <v>350</v>
      </c>
      <c r="I154" s="87">
        <v>350</v>
      </c>
    </row>
    <row r="155" spans="1:9" x14ac:dyDescent="0.25">
      <c r="A155" s="41"/>
      <c r="B155" s="41"/>
      <c r="C155" s="41"/>
      <c r="D155" s="41"/>
      <c r="E155" s="37" t="s">
        <v>128</v>
      </c>
      <c r="F155" s="87">
        <f t="shared" ref="F155:G155" si="40">SUM(F156+F158+F160)</f>
        <v>0</v>
      </c>
      <c r="G155" s="87">
        <f t="shared" si="40"/>
        <v>0</v>
      </c>
      <c r="H155" s="87">
        <v>37900</v>
      </c>
      <c r="I155" s="87">
        <v>37900</v>
      </c>
    </row>
    <row r="156" spans="1:9" x14ac:dyDescent="0.25">
      <c r="A156" s="41"/>
      <c r="B156" s="41"/>
      <c r="C156" s="41"/>
      <c r="D156" s="41"/>
      <c r="E156" s="36" t="s">
        <v>129</v>
      </c>
      <c r="F156" s="87">
        <f t="shared" ref="F156:G156" si="41">SUM(F157+F159+F161)</f>
        <v>0</v>
      </c>
      <c r="G156" s="87">
        <f t="shared" si="41"/>
        <v>0</v>
      </c>
      <c r="H156" s="87">
        <v>37900</v>
      </c>
      <c r="I156" s="87">
        <v>37900</v>
      </c>
    </row>
    <row r="157" spans="1:9" x14ac:dyDescent="0.25">
      <c r="A157" s="41"/>
      <c r="B157" s="41"/>
      <c r="C157" s="41"/>
      <c r="D157" s="41"/>
      <c r="E157" s="37" t="s">
        <v>130</v>
      </c>
      <c r="F157" s="87">
        <f t="shared" ref="F157:G157" si="42">SUM(F158+F160+F162)</f>
        <v>0</v>
      </c>
      <c r="G157" s="87">
        <f t="shared" si="42"/>
        <v>0</v>
      </c>
      <c r="H157" s="87">
        <v>1900</v>
      </c>
      <c r="I157" s="87">
        <v>1900</v>
      </c>
    </row>
    <row r="158" spans="1:9" ht="49.5" x14ac:dyDescent="0.25">
      <c r="A158" s="41"/>
      <c r="B158" s="41"/>
      <c r="C158" s="41"/>
      <c r="D158" s="41"/>
      <c r="E158" s="36" t="s">
        <v>131</v>
      </c>
      <c r="F158" s="87">
        <f t="shared" ref="F158:G158" si="43">SUM(F159+F161+F163)</f>
        <v>0</v>
      </c>
      <c r="G158" s="87">
        <f t="shared" si="43"/>
        <v>0</v>
      </c>
      <c r="H158" s="87">
        <v>1900</v>
      </c>
      <c r="I158" s="87">
        <v>1900</v>
      </c>
    </row>
    <row r="159" spans="1:9" ht="33" x14ac:dyDescent="0.25">
      <c r="A159" s="41"/>
      <c r="B159" s="41"/>
      <c r="C159" s="41"/>
      <c r="D159" s="41"/>
      <c r="E159" s="37" t="s">
        <v>115</v>
      </c>
      <c r="F159" s="87">
        <f t="shared" ref="F159:G159" si="44">SUM(F160+F162+F164)</f>
        <v>0</v>
      </c>
      <c r="G159" s="87">
        <f t="shared" si="44"/>
        <v>0</v>
      </c>
      <c r="H159" s="87">
        <v>200</v>
      </c>
      <c r="I159" s="90">
        <f t="shared" ref="I159" si="45">SUM(I160)</f>
        <v>200</v>
      </c>
    </row>
    <row r="160" spans="1:9" ht="33" x14ac:dyDescent="0.25">
      <c r="A160" s="41"/>
      <c r="B160" s="41"/>
      <c r="C160" s="41"/>
      <c r="D160" s="41"/>
      <c r="E160" s="36" t="s">
        <v>132</v>
      </c>
      <c r="F160" s="87">
        <f t="shared" ref="F160:G160" si="46">SUM(F161+F163+F165)</f>
        <v>0</v>
      </c>
      <c r="G160" s="87">
        <f t="shared" si="46"/>
        <v>0</v>
      </c>
      <c r="H160" s="87">
        <v>200</v>
      </c>
      <c r="I160" s="87">
        <v>200</v>
      </c>
    </row>
    <row r="161" spans="1:9" ht="33" x14ac:dyDescent="0.25">
      <c r="A161" s="41"/>
      <c r="B161" s="41"/>
      <c r="C161" s="41"/>
      <c r="D161" s="41"/>
      <c r="E161" s="37" t="s">
        <v>116</v>
      </c>
      <c r="F161" s="87">
        <f t="shared" ref="F161:G161" si="47">SUM(F162+F164+F166)</f>
        <v>0</v>
      </c>
      <c r="G161" s="87">
        <f t="shared" si="47"/>
        <v>0</v>
      </c>
      <c r="H161" s="87">
        <f t="shared" ref="H161:I161" si="48">SUM(H162:H174)</f>
        <v>33560</v>
      </c>
      <c r="I161" s="87">
        <f t="shared" si="48"/>
        <v>33560</v>
      </c>
    </row>
    <row r="162" spans="1:9" ht="49.5" x14ac:dyDescent="0.25">
      <c r="A162" s="41"/>
      <c r="B162" s="41"/>
      <c r="C162" s="41"/>
      <c r="D162" s="41"/>
      <c r="E162" s="36" t="s">
        <v>133</v>
      </c>
      <c r="F162" s="87">
        <v>0</v>
      </c>
      <c r="G162" s="87">
        <v>0</v>
      </c>
      <c r="H162" s="87">
        <v>7000</v>
      </c>
      <c r="I162" s="87">
        <v>7000</v>
      </c>
    </row>
    <row r="163" spans="1:9" ht="49.5" x14ac:dyDescent="0.25">
      <c r="A163" s="41"/>
      <c r="B163" s="41"/>
      <c r="C163" s="41"/>
      <c r="D163" s="41"/>
      <c r="E163" s="36" t="s">
        <v>134</v>
      </c>
      <c r="F163" s="87">
        <v>0</v>
      </c>
      <c r="G163" s="87">
        <v>0</v>
      </c>
      <c r="H163" s="87">
        <v>3600</v>
      </c>
      <c r="I163" s="87">
        <v>3600</v>
      </c>
    </row>
    <row r="164" spans="1:9" ht="33" x14ac:dyDescent="0.25">
      <c r="A164" s="41"/>
      <c r="B164" s="41"/>
      <c r="C164" s="41"/>
      <c r="D164" s="41"/>
      <c r="E164" s="36" t="s">
        <v>135</v>
      </c>
      <c r="F164" s="87">
        <v>0</v>
      </c>
      <c r="G164" s="87">
        <v>0</v>
      </c>
      <c r="H164" s="87">
        <v>1300</v>
      </c>
      <c r="I164" s="87">
        <v>1300</v>
      </c>
    </row>
    <row r="165" spans="1:9" ht="33" x14ac:dyDescent="0.25">
      <c r="A165" s="41"/>
      <c r="B165" s="41"/>
      <c r="C165" s="41"/>
      <c r="D165" s="41"/>
      <c r="E165" s="36" t="s">
        <v>136</v>
      </c>
      <c r="F165" s="87">
        <v>0</v>
      </c>
      <c r="G165" s="87">
        <v>0</v>
      </c>
      <c r="H165" s="87">
        <v>3370</v>
      </c>
      <c r="I165" s="87">
        <v>3370</v>
      </c>
    </row>
    <row r="166" spans="1:9" ht="49.5" x14ac:dyDescent="0.25">
      <c r="A166" s="41"/>
      <c r="B166" s="41"/>
      <c r="C166" s="41"/>
      <c r="D166" s="41"/>
      <c r="E166" s="36" t="s">
        <v>137</v>
      </c>
      <c r="F166" s="87">
        <v>0</v>
      </c>
      <c r="G166" s="87">
        <v>0</v>
      </c>
      <c r="H166" s="87">
        <v>2400</v>
      </c>
      <c r="I166" s="87">
        <v>2400</v>
      </c>
    </row>
    <row r="167" spans="1:9" ht="33" x14ac:dyDescent="0.25">
      <c r="A167" s="41"/>
      <c r="B167" s="41"/>
      <c r="C167" s="41"/>
      <c r="D167" s="41"/>
      <c r="E167" s="36" t="s">
        <v>138</v>
      </c>
      <c r="F167" s="87">
        <v>0</v>
      </c>
      <c r="G167" s="87">
        <v>0</v>
      </c>
      <c r="H167" s="87">
        <v>2200</v>
      </c>
      <c r="I167" s="87">
        <v>2200</v>
      </c>
    </row>
    <row r="168" spans="1:9" ht="33" x14ac:dyDescent="0.25">
      <c r="A168" s="41"/>
      <c r="B168" s="41"/>
      <c r="C168" s="41"/>
      <c r="D168" s="41"/>
      <c r="E168" s="36" t="s">
        <v>139</v>
      </c>
      <c r="F168" s="87">
        <v>0</v>
      </c>
      <c r="G168" s="87">
        <v>0</v>
      </c>
      <c r="H168" s="87">
        <v>1130</v>
      </c>
      <c r="I168" s="87">
        <v>1130</v>
      </c>
    </row>
    <row r="169" spans="1:9" ht="33" x14ac:dyDescent="0.25">
      <c r="A169" s="41"/>
      <c r="B169" s="41"/>
      <c r="C169" s="41"/>
      <c r="D169" s="41"/>
      <c r="E169" s="36" t="s">
        <v>140</v>
      </c>
      <c r="F169" s="87">
        <v>0</v>
      </c>
      <c r="G169" s="87">
        <v>0</v>
      </c>
      <c r="H169" s="87">
        <v>700</v>
      </c>
      <c r="I169" s="87">
        <v>700</v>
      </c>
    </row>
    <row r="170" spans="1:9" ht="33" x14ac:dyDescent="0.25">
      <c r="A170" s="41"/>
      <c r="B170" s="41"/>
      <c r="C170" s="41"/>
      <c r="D170" s="41"/>
      <c r="E170" s="36" t="s">
        <v>141</v>
      </c>
      <c r="F170" s="87">
        <v>0</v>
      </c>
      <c r="G170" s="87">
        <v>0</v>
      </c>
      <c r="H170" s="87">
        <v>1360</v>
      </c>
      <c r="I170" s="87">
        <v>1360</v>
      </c>
    </row>
    <row r="171" spans="1:9" ht="33" x14ac:dyDescent="0.25">
      <c r="A171" s="41"/>
      <c r="B171" s="41"/>
      <c r="C171" s="41"/>
      <c r="D171" s="41"/>
      <c r="E171" s="36" t="s">
        <v>142</v>
      </c>
      <c r="F171" s="87">
        <v>0</v>
      </c>
      <c r="G171" s="87">
        <v>0</v>
      </c>
      <c r="H171" s="87">
        <v>1300</v>
      </c>
      <c r="I171" s="87">
        <v>1300</v>
      </c>
    </row>
    <row r="172" spans="1:9" ht="33" x14ac:dyDescent="0.25">
      <c r="A172" s="41"/>
      <c r="B172" s="41"/>
      <c r="C172" s="41"/>
      <c r="D172" s="41"/>
      <c r="E172" s="36" t="s">
        <v>143</v>
      </c>
      <c r="F172" s="87">
        <v>0</v>
      </c>
      <c r="G172" s="87">
        <v>0</v>
      </c>
      <c r="H172" s="87">
        <v>1500</v>
      </c>
      <c r="I172" s="87">
        <v>1500</v>
      </c>
    </row>
    <row r="173" spans="1:9" ht="49.5" x14ac:dyDescent="0.25">
      <c r="A173" s="41"/>
      <c r="B173" s="41"/>
      <c r="C173" s="41"/>
      <c r="D173" s="41"/>
      <c r="E173" s="36" t="s">
        <v>144</v>
      </c>
      <c r="F173" s="87">
        <v>0</v>
      </c>
      <c r="G173" s="87">
        <v>0</v>
      </c>
      <c r="H173" s="87">
        <v>6000</v>
      </c>
      <c r="I173" s="87">
        <v>6000</v>
      </c>
    </row>
    <row r="174" spans="1:9" ht="33" x14ac:dyDescent="0.25">
      <c r="A174" s="41"/>
      <c r="B174" s="41"/>
      <c r="C174" s="41"/>
      <c r="D174" s="41"/>
      <c r="E174" s="36" t="s">
        <v>145</v>
      </c>
      <c r="F174" s="87">
        <v>0</v>
      </c>
      <c r="G174" s="87">
        <v>0</v>
      </c>
      <c r="H174" s="87">
        <v>1700</v>
      </c>
      <c r="I174" s="87">
        <v>1700</v>
      </c>
    </row>
    <row r="175" spans="1:9" ht="33" x14ac:dyDescent="0.25">
      <c r="A175" s="7" t="s">
        <v>10</v>
      </c>
      <c r="B175" s="7" t="s">
        <v>11</v>
      </c>
      <c r="C175" s="7" t="s">
        <v>12</v>
      </c>
      <c r="D175" s="49" t="s">
        <v>60</v>
      </c>
      <c r="E175" s="25" t="s">
        <v>80</v>
      </c>
      <c r="F175" s="87">
        <f>SUM(F177+F203+F191+F215)</f>
        <v>69252.5</v>
      </c>
      <c r="G175" s="87">
        <f t="shared" ref="G175:I175" si="49">SUM(G177+G203+G191+G215)</f>
        <v>157412.5</v>
      </c>
      <c r="H175" s="87">
        <f t="shared" si="49"/>
        <v>260612.5</v>
      </c>
      <c r="I175" s="87">
        <f t="shared" si="49"/>
        <v>342982.5</v>
      </c>
    </row>
    <row r="176" spans="1:9" x14ac:dyDescent="0.25">
      <c r="A176" s="7"/>
      <c r="B176" s="7"/>
      <c r="C176" s="7"/>
      <c r="D176" s="8"/>
      <c r="E176" s="22" t="s">
        <v>73</v>
      </c>
      <c r="F176" s="55"/>
      <c r="G176" s="55"/>
      <c r="H176" s="55"/>
      <c r="I176" s="87"/>
    </row>
    <row r="177" spans="1:9" x14ac:dyDescent="0.25">
      <c r="A177" s="7"/>
      <c r="B177" s="7"/>
      <c r="C177" s="7"/>
      <c r="D177" s="8"/>
      <c r="E177" s="45" t="s">
        <v>156</v>
      </c>
      <c r="F177" s="87">
        <f>SUM(F178+F180+F183+F184+F185+F186+F187+F188+F189+F190)</f>
        <v>69182.5</v>
      </c>
      <c r="G177" s="87">
        <f t="shared" ref="G177:I177" si="50">SUM(G178+G180+G183+G184+G185+G186+G187+G188+G189+G190)</f>
        <v>139882.5</v>
      </c>
      <c r="H177" s="87">
        <f t="shared" si="50"/>
        <v>223682.5</v>
      </c>
      <c r="I177" s="87">
        <f t="shared" si="50"/>
        <v>305852.5</v>
      </c>
    </row>
    <row r="178" spans="1:9" ht="33" x14ac:dyDescent="0.25">
      <c r="A178" s="7"/>
      <c r="B178" s="7"/>
      <c r="C178" s="7"/>
      <c r="D178" s="8"/>
      <c r="E178" s="27" t="s">
        <v>18</v>
      </c>
      <c r="F178" s="87">
        <v>-3000</v>
      </c>
      <c r="G178" s="87">
        <v>-3000</v>
      </c>
      <c r="H178" s="87">
        <v>-3000</v>
      </c>
      <c r="I178" s="87">
        <v>-3000</v>
      </c>
    </row>
    <row r="179" spans="1:9" ht="33" x14ac:dyDescent="0.25">
      <c r="A179" s="7"/>
      <c r="B179" s="7"/>
      <c r="C179" s="7"/>
      <c r="D179" s="8"/>
      <c r="E179" s="33" t="s">
        <v>81</v>
      </c>
      <c r="F179" s="87">
        <v>-3000</v>
      </c>
      <c r="G179" s="87">
        <v>-3000</v>
      </c>
      <c r="H179" s="87">
        <v>-3000</v>
      </c>
      <c r="I179" s="87">
        <v>-3000</v>
      </c>
    </row>
    <row r="180" spans="1:9" ht="33" x14ac:dyDescent="0.25">
      <c r="A180" s="7"/>
      <c r="B180" s="7"/>
      <c r="C180" s="7"/>
      <c r="D180" s="7"/>
      <c r="E180" s="27" t="s">
        <v>48</v>
      </c>
      <c r="F180" s="87">
        <v>-2087.5</v>
      </c>
      <c r="G180" s="87">
        <v>-2087.5</v>
      </c>
      <c r="H180" s="87">
        <v>-2087.5</v>
      </c>
      <c r="I180" s="87">
        <v>-2087.5</v>
      </c>
    </row>
    <row r="181" spans="1:9" x14ac:dyDescent="0.25">
      <c r="A181" s="8"/>
      <c r="B181" s="8"/>
      <c r="C181" s="8"/>
      <c r="D181" s="24"/>
      <c r="E181" s="33" t="s">
        <v>49</v>
      </c>
      <c r="F181" s="87">
        <v>-1394.5</v>
      </c>
      <c r="G181" s="87">
        <v>-1394.5</v>
      </c>
      <c r="H181" s="87">
        <v>-1394.5</v>
      </c>
      <c r="I181" s="87">
        <v>-1394.5</v>
      </c>
    </row>
    <row r="182" spans="1:9" x14ac:dyDescent="0.25">
      <c r="A182" s="8"/>
      <c r="B182" s="8"/>
      <c r="C182" s="8"/>
      <c r="D182" s="24"/>
      <c r="E182" s="33" t="s">
        <v>50</v>
      </c>
      <c r="F182" s="87">
        <v>-693</v>
      </c>
      <c r="G182" s="87">
        <v>-693</v>
      </c>
      <c r="H182" s="87">
        <v>-693</v>
      </c>
      <c r="I182" s="87">
        <v>-693</v>
      </c>
    </row>
    <row r="183" spans="1:9" ht="49.5" x14ac:dyDescent="0.25">
      <c r="A183" s="7"/>
      <c r="B183" s="7"/>
      <c r="C183" s="7"/>
      <c r="D183" s="7"/>
      <c r="E183" s="27" t="s">
        <v>51</v>
      </c>
      <c r="F183" s="87">
        <v>22000</v>
      </c>
      <c r="G183" s="87">
        <v>45100</v>
      </c>
      <c r="H183" s="87">
        <v>72400</v>
      </c>
      <c r="I183" s="87">
        <v>99630</v>
      </c>
    </row>
    <row r="184" spans="1:9" ht="49.5" x14ac:dyDescent="0.25">
      <c r="A184" s="7"/>
      <c r="B184" s="7"/>
      <c r="C184" s="7"/>
      <c r="D184" s="7"/>
      <c r="E184" s="27" t="s">
        <v>52</v>
      </c>
      <c r="F184" s="87">
        <v>12620</v>
      </c>
      <c r="G184" s="87">
        <v>25920</v>
      </c>
      <c r="H184" s="87">
        <v>41920</v>
      </c>
      <c r="I184" s="87">
        <v>57120</v>
      </c>
    </row>
    <row r="185" spans="1:9" ht="33" x14ac:dyDescent="0.25">
      <c r="A185" s="7"/>
      <c r="B185" s="7"/>
      <c r="C185" s="7"/>
      <c r="D185" s="7"/>
      <c r="E185" s="27" t="s">
        <v>53</v>
      </c>
      <c r="F185" s="87">
        <v>5140</v>
      </c>
      <c r="G185" s="87">
        <v>10440</v>
      </c>
      <c r="H185" s="87">
        <v>16640</v>
      </c>
      <c r="I185" s="87">
        <v>22820</v>
      </c>
    </row>
    <row r="186" spans="1:9" ht="66" x14ac:dyDescent="0.25">
      <c r="A186" s="7"/>
      <c r="B186" s="7"/>
      <c r="C186" s="7"/>
      <c r="D186" s="7"/>
      <c r="E186" s="27" t="s">
        <v>82</v>
      </c>
      <c r="F186" s="87">
        <v>5110</v>
      </c>
      <c r="G186" s="87">
        <v>10510</v>
      </c>
      <c r="H186" s="87">
        <v>16910</v>
      </c>
      <c r="I186" s="87">
        <v>23350</v>
      </c>
    </row>
    <row r="187" spans="1:9" ht="49.5" x14ac:dyDescent="0.25">
      <c r="A187" s="7"/>
      <c r="B187" s="7"/>
      <c r="C187" s="7"/>
      <c r="D187" s="7"/>
      <c r="E187" s="27" t="s">
        <v>54</v>
      </c>
      <c r="F187" s="87">
        <v>3390</v>
      </c>
      <c r="G187" s="87">
        <v>6990</v>
      </c>
      <c r="H187" s="87">
        <v>11590</v>
      </c>
      <c r="I187" s="87">
        <v>15630</v>
      </c>
    </row>
    <row r="188" spans="1:9" ht="66" x14ac:dyDescent="0.25">
      <c r="A188" s="7"/>
      <c r="B188" s="7"/>
      <c r="C188" s="7"/>
      <c r="D188" s="7"/>
      <c r="E188" s="27" t="s">
        <v>55</v>
      </c>
      <c r="F188" s="87">
        <v>5510</v>
      </c>
      <c r="G188" s="87">
        <v>11310</v>
      </c>
      <c r="H188" s="87">
        <v>18210</v>
      </c>
      <c r="I188" s="87">
        <v>25030</v>
      </c>
    </row>
    <row r="189" spans="1:9" ht="33" x14ac:dyDescent="0.25">
      <c r="A189" s="7"/>
      <c r="B189" s="7"/>
      <c r="C189" s="7"/>
      <c r="D189" s="7"/>
      <c r="E189" s="27" t="s">
        <v>56</v>
      </c>
      <c r="F189" s="87">
        <v>12940</v>
      </c>
      <c r="G189" s="87">
        <v>27140</v>
      </c>
      <c r="H189" s="87">
        <v>43540</v>
      </c>
      <c r="I189" s="87">
        <v>59800</v>
      </c>
    </row>
    <row r="190" spans="1:9" ht="33" x14ac:dyDescent="0.25">
      <c r="A190" s="7"/>
      <c r="B190" s="7"/>
      <c r="C190" s="7"/>
      <c r="D190" s="7"/>
      <c r="E190" s="27" t="s">
        <v>126</v>
      </c>
      <c r="F190" s="87">
        <v>7560</v>
      </c>
      <c r="G190" s="87">
        <v>7560</v>
      </c>
      <c r="H190" s="87">
        <v>7560</v>
      </c>
      <c r="I190" s="87">
        <v>7560</v>
      </c>
    </row>
    <row r="191" spans="1:9" ht="33" x14ac:dyDescent="0.25">
      <c r="A191" s="7"/>
      <c r="B191" s="7"/>
      <c r="C191" s="7"/>
      <c r="D191" s="7"/>
      <c r="E191" s="27" t="s">
        <v>124</v>
      </c>
      <c r="F191" s="87">
        <f>SUM(F192+F195+F196+F197+F198+F199+F200+F201+F202)</f>
        <v>70</v>
      </c>
      <c r="G191" s="87">
        <f t="shared" ref="G191:I191" si="51">SUM(G192+G195+G196+G197+G198+G199+G200+G201+G202)</f>
        <v>2100</v>
      </c>
      <c r="H191" s="87">
        <f t="shared" si="51"/>
        <v>2100</v>
      </c>
      <c r="I191" s="87">
        <f t="shared" si="51"/>
        <v>2300</v>
      </c>
    </row>
    <row r="192" spans="1:9" ht="33" x14ac:dyDescent="0.25">
      <c r="A192" s="7"/>
      <c r="B192" s="7"/>
      <c r="C192" s="7"/>
      <c r="D192" s="7"/>
      <c r="E192" s="27" t="s">
        <v>48</v>
      </c>
      <c r="F192" s="87">
        <f>SUM(F193:F194)</f>
        <v>70</v>
      </c>
      <c r="G192" s="87">
        <f t="shared" ref="G192:I192" si="52">SUM(G193:G194)</f>
        <v>70</v>
      </c>
      <c r="H192" s="87">
        <f t="shared" si="52"/>
        <v>70</v>
      </c>
      <c r="I192" s="87">
        <f t="shared" si="52"/>
        <v>70</v>
      </c>
    </row>
    <row r="193" spans="1:9" x14ac:dyDescent="0.25">
      <c r="A193" s="8"/>
      <c r="B193" s="8"/>
      <c r="C193" s="8"/>
      <c r="D193" s="24"/>
      <c r="E193" s="33" t="s">
        <v>49</v>
      </c>
      <c r="F193" s="87">
        <v>20</v>
      </c>
      <c r="G193" s="87">
        <v>20</v>
      </c>
      <c r="H193" s="87">
        <v>20</v>
      </c>
      <c r="I193" s="87">
        <v>20</v>
      </c>
    </row>
    <row r="194" spans="1:9" x14ac:dyDescent="0.25">
      <c r="A194" s="8"/>
      <c r="B194" s="8"/>
      <c r="C194" s="8"/>
      <c r="D194" s="24"/>
      <c r="E194" s="33" t="s">
        <v>50</v>
      </c>
      <c r="F194" s="87">
        <v>50</v>
      </c>
      <c r="G194" s="87">
        <v>50</v>
      </c>
      <c r="H194" s="87">
        <v>50</v>
      </c>
      <c r="I194" s="87">
        <v>50</v>
      </c>
    </row>
    <row r="195" spans="1:9" ht="49.5" x14ac:dyDescent="0.25">
      <c r="A195" s="7"/>
      <c r="B195" s="7"/>
      <c r="C195" s="7"/>
      <c r="D195" s="7"/>
      <c r="E195" s="27" t="s">
        <v>51</v>
      </c>
      <c r="F195" s="87">
        <v>0</v>
      </c>
      <c r="G195" s="87">
        <v>100</v>
      </c>
      <c r="H195" s="87">
        <v>100</v>
      </c>
      <c r="I195" s="87">
        <v>100</v>
      </c>
    </row>
    <row r="196" spans="1:9" ht="49.5" x14ac:dyDescent="0.25">
      <c r="A196" s="7"/>
      <c r="B196" s="7"/>
      <c r="C196" s="7"/>
      <c r="D196" s="7"/>
      <c r="E196" s="27" t="s">
        <v>52</v>
      </c>
      <c r="F196" s="87">
        <v>0</v>
      </c>
      <c r="G196" s="87">
        <v>570</v>
      </c>
      <c r="H196" s="87">
        <v>570</v>
      </c>
      <c r="I196" s="87">
        <v>570</v>
      </c>
    </row>
    <row r="197" spans="1:9" ht="33" x14ac:dyDescent="0.25">
      <c r="A197" s="7"/>
      <c r="B197" s="7"/>
      <c r="C197" s="7"/>
      <c r="D197" s="7"/>
      <c r="E197" s="27" t="s">
        <v>53</v>
      </c>
      <c r="F197" s="87">
        <v>0</v>
      </c>
      <c r="G197" s="87">
        <v>230</v>
      </c>
      <c r="H197" s="87">
        <v>230</v>
      </c>
      <c r="I197" s="87">
        <v>230</v>
      </c>
    </row>
    <row r="198" spans="1:9" ht="66" x14ac:dyDescent="0.25">
      <c r="A198" s="7"/>
      <c r="B198" s="7"/>
      <c r="C198" s="7"/>
      <c r="D198" s="7"/>
      <c r="E198" s="27" t="s">
        <v>82</v>
      </c>
      <c r="F198" s="87">
        <v>0</v>
      </c>
      <c r="G198" s="87">
        <v>240</v>
      </c>
      <c r="H198" s="87">
        <v>240</v>
      </c>
      <c r="I198" s="87">
        <v>240</v>
      </c>
    </row>
    <row r="199" spans="1:9" ht="49.5" x14ac:dyDescent="0.25">
      <c r="A199" s="7"/>
      <c r="B199" s="7"/>
      <c r="C199" s="7"/>
      <c r="D199" s="7"/>
      <c r="E199" s="27" t="s">
        <v>54</v>
      </c>
      <c r="F199" s="87">
        <v>0</v>
      </c>
      <c r="G199" s="87">
        <v>160</v>
      </c>
      <c r="H199" s="87">
        <v>160</v>
      </c>
      <c r="I199" s="87">
        <v>160</v>
      </c>
    </row>
    <row r="200" spans="1:9" ht="57" customHeight="1" x14ac:dyDescent="0.25">
      <c r="A200" s="7"/>
      <c r="B200" s="7"/>
      <c r="C200" s="7"/>
      <c r="D200" s="7"/>
      <c r="E200" s="27" t="s">
        <v>55</v>
      </c>
      <c r="F200" s="87">
        <v>0</v>
      </c>
      <c r="G200" s="87">
        <v>250</v>
      </c>
      <c r="H200" s="87">
        <v>250</v>
      </c>
      <c r="I200" s="87">
        <v>250</v>
      </c>
    </row>
    <row r="201" spans="1:9" ht="33" x14ac:dyDescent="0.25">
      <c r="A201" s="7"/>
      <c r="B201" s="7"/>
      <c r="C201" s="7"/>
      <c r="D201" s="7"/>
      <c r="E201" s="27" t="s">
        <v>56</v>
      </c>
      <c r="F201" s="87">
        <v>0</v>
      </c>
      <c r="G201" s="87">
        <v>400</v>
      </c>
      <c r="H201" s="87">
        <v>400</v>
      </c>
      <c r="I201" s="87">
        <v>600</v>
      </c>
    </row>
    <row r="202" spans="1:9" ht="33" x14ac:dyDescent="0.25">
      <c r="A202" s="7"/>
      <c r="B202" s="7"/>
      <c r="C202" s="7"/>
      <c r="D202" s="7"/>
      <c r="E202" s="27" t="s">
        <v>126</v>
      </c>
      <c r="F202" s="87">
        <v>0</v>
      </c>
      <c r="G202" s="87">
        <v>80</v>
      </c>
      <c r="H202" s="87">
        <v>80</v>
      </c>
      <c r="I202" s="87">
        <v>80</v>
      </c>
    </row>
    <row r="203" spans="1:9" ht="33" x14ac:dyDescent="0.25">
      <c r="A203" s="7"/>
      <c r="B203" s="7"/>
      <c r="C203" s="7"/>
      <c r="D203" s="7"/>
      <c r="E203" s="27" t="s">
        <v>125</v>
      </c>
      <c r="F203" s="87">
        <f>SUM(F204+F207+F208+F209+F210+F211+F212+F213+F214)</f>
        <v>0</v>
      </c>
      <c r="G203" s="87">
        <f t="shared" ref="G203:I203" si="53">SUM(G204+G207+G208+G209+G210+G211+G212+G213+G214)</f>
        <v>430</v>
      </c>
      <c r="H203" s="87">
        <f t="shared" si="53"/>
        <v>2310</v>
      </c>
      <c r="I203" s="87">
        <f t="shared" si="53"/>
        <v>2310</v>
      </c>
    </row>
    <row r="204" spans="1:9" ht="33" x14ac:dyDescent="0.25">
      <c r="A204" s="7"/>
      <c r="B204" s="7"/>
      <c r="C204" s="7"/>
      <c r="D204" s="7"/>
      <c r="E204" s="27" t="s">
        <v>48</v>
      </c>
      <c r="F204" s="87">
        <f>SUM(F205:F206)</f>
        <v>0</v>
      </c>
      <c r="G204" s="87">
        <f t="shared" ref="G204:I204" si="54">SUM(G205:G206)</f>
        <v>430</v>
      </c>
      <c r="H204" s="87">
        <f t="shared" si="54"/>
        <v>430</v>
      </c>
      <c r="I204" s="87">
        <f t="shared" si="54"/>
        <v>430</v>
      </c>
    </row>
    <row r="205" spans="1:9" x14ac:dyDescent="0.25">
      <c r="A205" s="8"/>
      <c r="B205" s="8"/>
      <c r="C205" s="8"/>
      <c r="D205" s="24"/>
      <c r="E205" s="33" t="s">
        <v>49</v>
      </c>
      <c r="F205" s="87">
        <v>0</v>
      </c>
      <c r="G205" s="87">
        <v>270</v>
      </c>
      <c r="H205" s="87">
        <v>270</v>
      </c>
      <c r="I205" s="87">
        <v>270</v>
      </c>
    </row>
    <row r="206" spans="1:9" x14ac:dyDescent="0.25">
      <c r="A206" s="8"/>
      <c r="B206" s="8"/>
      <c r="C206" s="8"/>
      <c r="D206" s="24"/>
      <c r="E206" s="33" t="s">
        <v>50</v>
      </c>
      <c r="F206" s="87">
        <v>0</v>
      </c>
      <c r="G206" s="87">
        <v>160</v>
      </c>
      <c r="H206" s="87">
        <v>160</v>
      </c>
      <c r="I206" s="87">
        <v>160</v>
      </c>
    </row>
    <row r="207" spans="1:9" ht="49.5" x14ac:dyDescent="0.25">
      <c r="A207" s="7"/>
      <c r="B207" s="7"/>
      <c r="C207" s="7"/>
      <c r="D207" s="7"/>
      <c r="E207" s="27" t="s">
        <v>51</v>
      </c>
      <c r="F207" s="87">
        <v>0</v>
      </c>
      <c r="G207" s="87">
        <v>0</v>
      </c>
      <c r="H207" s="87">
        <v>600</v>
      </c>
      <c r="I207" s="87">
        <v>600</v>
      </c>
    </row>
    <row r="208" spans="1:9" ht="49.5" x14ac:dyDescent="0.25">
      <c r="A208" s="7"/>
      <c r="B208" s="7"/>
      <c r="C208" s="7"/>
      <c r="D208" s="7"/>
      <c r="E208" s="27" t="s">
        <v>52</v>
      </c>
      <c r="F208" s="87">
        <v>0</v>
      </c>
      <c r="G208" s="87">
        <v>0</v>
      </c>
      <c r="H208" s="87">
        <v>340</v>
      </c>
      <c r="I208" s="87">
        <v>340</v>
      </c>
    </row>
    <row r="209" spans="1:9" ht="33" x14ac:dyDescent="0.25">
      <c r="A209" s="7"/>
      <c r="B209" s="7"/>
      <c r="C209" s="7"/>
      <c r="D209" s="7"/>
      <c r="E209" s="27" t="s">
        <v>53</v>
      </c>
      <c r="F209" s="87">
        <v>0</v>
      </c>
      <c r="G209" s="87">
        <v>0</v>
      </c>
      <c r="H209" s="87">
        <v>140</v>
      </c>
      <c r="I209" s="87">
        <v>140</v>
      </c>
    </row>
    <row r="210" spans="1:9" ht="66" x14ac:dyDescent="0.25">
      <c r="A210" s="7"/>
      <c r="B210" s="7"/>
      <c r="C210" s="7"/>
      <c r="D210" s="7"/>
      <c r="E210" s="27" t="s">
        <v>82</v>
      </c>
      <c r="F210" s="87">
        <v>0</v>
      </c>
      <c r="G210" s="87">
        <v>0</v>
      </c>
      <c r="H210" s="87">
        <v>140</v>
      </c>
      <c r="I210" s="87">
        <v>140</v>
      </c>
    </row>
    <row r="211" spans="1:9" ht="49.5" x14ac:dyDescent="0.25">
      <c r="A211" s="7"/>
      <c r="B211" s="7"/>
      <c r="C211" s="7"/>
      <c r="D211" s="7"/>
      <c r="E211" s="27" t="s">
        <v>54</v>
      </c>
      <c r="F211" s="87">
        <v>0</v>
      </c>
      <c r="G211" s="87">
        <v>0</v>
      </c>
      <c r="H211" s="87">
        <v>100</v>
      </c>
      <c r="I211" s="87">
        <v>100</v>
      </c>
    </row>
    <row r="212" spans="1:9" ht="66" x14ac:dyDescent="0.25">
      <c r="A212" s="7"/>
      <c r="B212" s="7"/>
      <c r="C212" s="7"/>
      <c r="D212" s="7"/>
      <c r="E212" s="27" t="s">
        <v>55</v>
      </c>
      <c r="F212" s="87">
        <v>0</v>
      </c>
      <c r="G212" s="87">
        <v>0</v>
      </c>
      <c r="H212" s="87">
        <v>150</v>
      </c>
      <c r="I212" s="87">
        <v>150</v>
      </c>
    </row>
    <row r="213" spans="1:9" ht="33" x14ac:dyDescent="0.25">
      <c r="A213" s="7"/>
      <c r="B213" s="7"/>
      <c r="C213" s="7"/>
      <c r="D213" s="7"/>
      <c r="E213" s="27" t="s">
        <v>56</v>
      </c>
      <c r="F213" s="87">
        <v>0</v>
      </c>
      <c r="G213" s="87">
        <v>0</v>
      </c>
      <c r="H213" s="87">
        <v>360</v>
      </c>
      <c r="I213" s="87">
        <v>360</v>
      </c>
    </row>
    <row r="214" spans="1:9" ht="33" x14ac:dyDescent="0.25">
      <c r="A214" s="7"/>
      <c r="B214" s="7"/>
      <c r="C214" s="7"/>
      <c r="D214" s="7"/>
      <c r="E214" s="27" t="s">
        <v>126</v>
      </c>
      <c r="F214" s="87">
        <v>0</v>
      </c>
      <c r="G214" s="87">
        <v>0</v>
      </c>
      <c r="H214" s="87">
        <v>50</v>
      </c>
      <c r="I214" s="87">
        <v>50</v>
      </c>
    </row>
    <row r="215" spans="1:9" ht="49.5" x14ac:dyDescent="0.25">
      <c r="A215" s="7"/>
      <c r="B215" s="7"/>
      <c r="C215" s="7"/>
      <c r="D215" s="7"/>
      <c r="E215" s="51" t="s">
        <v>153</v>
      </c>
      <c r="F215" s="87">
        <f>SUM(F216+F218+F220+F222)</f>
        <v>0</v>
      </c>
      <c r="G215" s="87">
        <f t="shared" ref="G215:I215" si="55">SUM(G216+G218+G220+G222)</f>
        <v>15000</v>
      </c>
      <c r="H215" s="87">
        <f t="shared" si="55"/>
        <v>32520</v>
      </c>
      <c r="I215" s="87">
        <f t="shared" si="55"/>
        <v>32520</v>
      </c>
    </row>
    <row r="216" spans="1:9" x14ac:dyDescent="0.25">
      <c r="A216" s="7"/>
      <c r="B216" s="7"/>
      <c r="C216" s="7"/>
      <c r="D216" s="7"/>
      <c r="E216" s="34" t="s">
        <v>146</v>
      </c>
      <c r="F216" s="87">
        <f>SUM(F217)</f>
        <v>0</v>
      </c>
      <c r="G216" s="87">
        <f t="shared" ref="G216:I216" si="56">SUM(G217)</f>
        <v>0</v>
      </c>
      <c r="H216" s="87">
        <f t="shared" si="56"/>
        <v>1900</v>
      </c>
      <c r="I216" s="87">
        <f t="shared" si="56"/>
        <v>1900</v>
      </c>
    </row>
    <row r="217" spans="1:9" x14ac:dyDescent="0.25">
      <c r="A217" s="7"/>
      <c r="B217" s="7"/>
      <c r="C217" s="7"/>
      <c r="D217" s="7"/>
      <c r="E217" s="52" t="s">
        <v>147</v>
      </c>
      <c r="F217" s="87"/>
      <c r="G217" s="87"/>
      <c r="H217" s="87">
        <v>1900</v>
      </c>
      <c r="I217" s="87">
        <v>1900</v>
      </c>
    </row>
    <row r="218" spans="1:9" x14ac:dyDescent="0.25">
      <c r="A218" s="7"/>
      <c r="B218" s="7"/>
      <c r="C218" s="7"/>
      <c r="D218" s="7"/>
      <c r="E218" s="34" t="s">
        <v>148</v>
      </c>
      <c r="F218" s="87">
        <f>SUM(F219)</f>
        <v>0</v>
      </c>
      <c r="G218" s="87">
        <f t="shared" ref="G218:I218" si="57">SUM(G219)</f>
        <v>0</v>
      </c>
      <c r="H218" s="87">
        <f t="shared" si="57"/>
        <v>500</v>
      </c>
      <c r="I218" s="87">
        <f t="shared" si="57"/>
        <v>500</v>
      </c>
    </row>
    <row r="219" spans="1:9" x14ac:dyDescent="0.25">
      <c r="A219" s="7"/>
      <c r="B219" s="7"/>
      <c r="C219" s="7"/>
      <c r="D219" s="7"/>
      <c r="E219" s="53" t="s">
        <v>149</v>
      </c>
      <c r="F219" s="87"/>
      <c r="G219" s="87"/>
      <c r="H219" s="87">
        <v>500</v>
      </c>
      <c r="I219" s="87">
        <v>500</v>
      </c>
    </row>
    <row r="220" spans="1:9" x14ac:dyDescent="0.25">
      <c r="A220" s="7"/>
      <c r="B220" s="7"/>
      <c r="C220" s="7"/>
      <c r="D220" s="7"/>
      <c r="E220" s="54" t="s">
        <v>150</v>
      </c>
      <c r="F220" s="87">
        <f>SUM(F221)</f>
        <v>0</v>
      </c>
      <c r="G220" s="87">
        <f t="shared" ref="G220:I220" si="58">SUM(G221)</f>
        <v>0</v>
      </c>
      <c r="H220" s="87">
        <f t="shared" si="58"/>
        <v>120</v>
      </c>
      <c r="I220" s="87">
        <f t="shared" si="58"/>
        <v>120</v>
      </c>
    </row>
    <row r="221" spans="1:9" x14ac:dyDescent="0.25">
      <c r="A221" s="7"/>
      <c r="B221" s="7"/>
      <c r="C221" s="7"/>
      <c r="D221" s="7"/>
      <c r="E221" s="55" t="s">
        <v>151</v>
      </c>
      <c r="F221" s="87"/>
      <c r="G221" s="87"/>
      <c r="H221" s="87">
        <v>120</v>
      </c>
      <c r="I221" s="87">
        <v>120</v>
      </c>
    </row>
    <row r="222" spans="1:9" ht="156.75" x14ac:dyDescent="0.25">
      <c r="A222" s="7"/>
      <c r="B222" s="7"/>
      <c r="C222" s="7"/>
      <c r="D222" s="7"/>
      <c r="E222" s="56" t="s">
        <v>152</v>
      </c>
      <c r="F222" s="87"/>
      <c r="G222" s="87">
        <v>15000</v>
      </c>
      <c r="H222" s="87">
        <v>30000</v>
      </c>
      <c r="I222" s="87">
        <v>30000</v>
      </c>
    </row>
    <row r="223" spans="1:9" x14ac:dyDescent="0.25">
      <c r="A223" s="7"/>
      <c r="B223" s="7"/>
      <c r="C223" s="7"/>
      <c r="D223" s="8"/>
      <c r="E223" s="20" t="s">
        <v>58</v>
      </c>
      <c r="F223" s="87">
        <f>SUM(F225)</f>
        <v>-1176067</v>
      </c>
      <c r="G223" s="87">
        <f t="shared" ref="G223:H223" si="59">SUM(G225)</f>
        <v>-2352134.1</v>
      </c>
      <c r="H223" s="87">
        <f t="shared" si="59"/>
        <v>-4116234.7</v>
      </c>
      <c r="I223" s="87">
        <v>-5880335.2999999998</v>
      </c>
    </row>
    <row r="224" spans="1:9" x14ac:dyDescent="0.25">
      <c r="A224" s="7"/>
      <c r="B224" s="7"/>
      <c r="C224" s="7"/>
      <c r="D224" s="8"/>
      <c r="E224" s="22" t="s">
        <v>73</v>
      </c>
      <c r="F224" s="87"/>
      <c r="G224" s="87"/>
      <c r="H224" s="87"/>
      <c r="I224" s="87"/>
    </row>
    <row r="225" spans="1:9" ht="33" x14ac:dyDescent="0.25">
      <c r="A225" s="7" t="s">
        <v>10</v>
      </c>
      <c r="B225" s="7" t="s">
        <v>11</v>
      </c>
      <c r="C225" s="7" t="s">
        <v>12</v>
      </c>
      <c r="D225" s="24" t="s">
        <v>12</v>
      </c>
      <c r="E225" s="25" t="s">
        <v>59</v>
      </c>
      <c r="F225" s="87">
        <v>-1176067</v>
      </c>
      <c r="G225" s="87">
        <v>-2352134.1</v>
      </c>
      <c r="H225" s="87">
        <v>-4116234.7</v>
      </c>
      <c r="I225" s="87">
        <v>-5880335.2999999998</v>
      </c>
    </row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</sheetData>
  <mergeCells count="10">
    <mergeCell ref="A1:I1"/>
    <mergeCell ref="A2:I2"/>
    <mergeCell ref="A3:I3"/>
    <mergeCell ref="A4:I4"/>
    <mergeCell ref="A6:A7"/>
    <mergeCell ref="B6:B7"/>
    <mergeCell ref="D6:D7"/>
    <mergeCell ref="E6:E7"/>
    <mergeCell ref="F6:I6"/>
    <mergeCell ref="C6:C7"/>
  </mergeCells>
  <pageMargins left="0.7" right="0.7" top="0.75" bottom="0.75" header="0.3" footer="0.3"/>
  <pageSetup paperSize="9" scale="90" orientation="landscape" r:id="rId1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E1" zoomScale="82" zoomScaleNormal="100" zoomScaleSheetLayoutView="82" workbookViewId="0">
      <selection activeCell="G18" sqref="G18"/>
    </sheetView>
  </sheetViews>
  <sheetFormatPr defaultColWidth="9.42578125" defaultRowHeight="13.5" x14ac:dyDescent="0.25"/>
  <cols>
    <col min="1" max="1" width="4.28515625" style="198" customWidth="1"/>
    <col min="2" max="2" width="4.85546875" style="198" customWidth="1"/>
    <col min="3" max="3" width="4.42578125" style="198" customWidth="1"/>
    <col min="4" max="4" width="47.28515625" style="198" customWidth="1"/>
    <col min="5" max="5" width="15.85546875" style="198" customWidth="1"/>
    <col min="6" max="6" width="14.28515625" style="198" customWidth="1"/>
    <col min="7" max="7" width="15.140625" style="198" customWidth="1"/>
    <col min="8" max="8" width="13.140625" style="198" customWidth="1"/>
    <col min="9" max="9" width="17.140625" style="198" customWidth="1"/>
    <col min="10" max="10" width="14.7109375" style="198" customWidth="1"/>
    <col min="11" max="11" width="12.7109375" style="198" customWidth="1"/>
    <col min="12" max="12" width="13.85546875" style="198" customWidth="1"/>
    <col min="13" max="13" width="14.85546875" style="198" customWidth="1"/>
    <col min="14" max="15" width="15" style="198" customWidth="1"/>
    <col min="16" max="16" width="15.28515625" style="198" customWidth="1"/>
    <col min="17" max="110" width="0" style="198" hidden="1" customWidth="1"/>
    <col min="111" max="122" width="9.42578125" style="198"/>
    <col min="123" max="123" width="4.28515625" style="198" customWidth="1"/>
    <col min="124" max="124" width="4.85546875" style="198" customWidth="1"/>
    <col min="125" max="125" width="4.42578125" style="198" customWidth="1"/>
    <col min="126" max="126" width="47.28515625" style="198" customWidth="1"/>
    <col min="127" max="127" width="15.85546875" style="198" customWidth="1"/>
    <col min="128" max="128" width="14.28515625" style="198" customWidth="1"/>
    <col min="129" max="129" width="15.140625" style="198" customWidth="1"/>
    <col min="130" max="130" width="16.7109375" style="198" customWidth="1"/>
    <col min="131" max="131" width="17.140625" style="198" customWidth="1"/>
    <col min="132" max="132" width="14.7109375" style="198" customWidth="1"/>
    <col min="133" max="133" width="15.5703125" style="198" customWidth="1"/>
    <col min="134" max="134" width="16" style="198" customWidth="1"/>
    <col min="135" max="135" width="14.85546875" style="198" customWidth="1"/>
    <col min="136" max="137" width="15" style="198" customWidth="1"/>
    <col min="138" max="138" width="15.28515625" style="198" customWidth="1"/>
    <col min="139" max="139" width="9.42578125" style="198"/>
    <col min="140" max="140" width="14.28515625" style="198" bestFit="1" customWidth="1"/>
    <col min="141" max="141" width="13.140625" style="198" customWidth="1"/>
    <col min="142" max="142" width="13.42578125" style="198" customWidth="1"/>
    <col min="143" max="143" width="15.140625" style="198" customWidth="1"/>
    <col min="144" max="378" width="9.42578125" style="198"/>
    <col min="379" max="379" width="4.28515625" style="198" customWidth="1"/>
    <col min="380" max="380" width="4.85546875" style="198" customWidth="1"/>
    <col min="381" max="381" width="4.42578125" style="198" customWidth="1"/>
    <col min="382" max="382" width="47.28515625" style="198" customWidth="1"/>
    <col min="383" max="383" width="15.85546875" style="198" customWidth="1"/>
    <col min="384" max="384" width="14.28515625" style="198" customWidth="1"/>
    <col min="385" max="385" width="15.140625" style="198" customWidth="1"/>
    <col min="386" max="386" width="16.7109375" style="198" customWidth="1"/>
    <col min="387" max="387" width="17.140625" style="198" customWidth="1"/>
    <col min="388" max="388" width="14.7109375" style="198" customWidth="1"/>
    <col min="389" max="389" width="15.5703125" style="198" customWidth="1"/>
    <col min="390" max="390" width="16" style="198" customWidth="1"/>
    <col min="391" max="391" width="14.85546875" style="198" customWidth="1"/>
    <col min="392" max="393" width="15" style="198" customWidth="1"/>
    <col min="394" max="394" width="15.28515625" style="198" customWidth="1"/>
    <col min="395" max="395" width="9.42578125" style="198"/>
    <col min="396" max="396" width="14.28515625" style="198" bestFit="1" customWidth="1"/>
    <col min="397" max="397" width="13.140625" style="198" customWidth="1"/>
    <col min="398" max="398" width="13.42578125" style="198" customWidth="1"/>
    <col min="399" max="399" width="15.140625" style="198" customWidth="1"/>
    <col min="400" max="634" width="9.42578125" style="198"/>
    <col min="635" max="635" width="4.28515625" style="198" customWidth="1"/>
    <col min="636" max="636" width="4.85546875" style="198" customWidth="1"/>
    <col min="637" max="637" width="4.42578125" style="198" customWidth="1"/>
    <col min="638" max="638" width="47.28515625" style="198" customWidth="1"/>
    <col min="639" max="639" width="15.85546875" style="198" customWidth="1"/>
    <col min="640" max="640" width="14.28515625" style="198" customWidth="1"/>
    <col min="641" max="641" width="15.140625" style="198" customWidth="1"/>
    <col min="642" max="642" width="16.7109375" style="198" customWidth="1"/>
    <col min="643" max="643" width="17.140625" style="198" customWidth="1"/>
    <col min="644" max="644" width="14.7109375" style="198" customWidth="1"/>
    <col min="645" max="645" width="15.5703125" style="198" customWidth="1"/>
    <col min="646" max="646" width="16" style="198" customWidth="1"/>
    <col min="647" max="647" width="14.85546875" style="198" customWidth="1"/>
    <col min="648" max="649" width="15" style="198" customWidth="1"/>
    <col min="650" max="650" width="15.28515625" style="198" customWidth="1"/>
    <col min="651" max="651" width="9.42578125" style="198"/>
    <col min="652" max="652" width="14.28515625" style="198" bestFit="1" customWidth="1"/>
    <col min="653" max="653" width="13.140625" style="198" customWidth="1"/>
    <col min="654" max="654" width="13.42578125" style="198" customWidth="1"/>
    <col min="655" max="655" width="15.140625" style="198" customWidth="1"/>
    <col min="656" max="890" width="9.42578125" style="198"/>
    <col min="891" max="891" width="4.28515625" style="198" customWidth="1"/>
    <col min="892" max="892" width="4.85546875" style="198" customWidth="1"/>
    <col min="893" max="893" width="4.42578125" style="198" customWidth="1"/>
    <col min="894" max="894" width="47.28515625" style="198" customWidth="1"/>
    <col min="895" max="895" width="15.85546875" style="198" customWidth="1"/>
    <col min="896" max="896" width="14.28515625" style="198" customWidth="1"/>
    <col min="897" max="897" width="15.140625" style="198" customWidth="1"/>
    <col min="898" max="898" width="16.7109375" style="198" customWidth="1"/>
    <col min="899" max="899" width="17.140625" style="198" customWidth="1"/>
    <col min="900" max="900" width="14.7109375" style="198" customWidth="1"/>
    <col min="901" max="901" width="15.5703125" style="198" customWidth="1"/>
    <col min="902" max="902" width="16" style="198" customWidth="1"/>
    <col min="903" max="903" width="14.85546875" style="198" customWidth="1"/>
    <col min="904" max="905" width="15" style="198" customWidth="1"/>
    <col min="906" max="906" width="15.28515625" style="198" customWidth="1"/>
    <col min="907" max="907" width="9.42578125" style="198"/>
    <col min="908" max="908" width="14.28515625" style="198" bestFit="1" customWidth="1"/>
    <col min="909" max="909" width="13.140625" style="198" customWidth="1"/>
    <col min="910" max="910" width="13.42578125" style="198" customWidth="1"/>
    <col min="911" max="911" width="15.140625" style="198" customWidth="1"/>
    <col min="912" max="1146" width="9.42578125" style="198"/>
    <col min="1147" max="1147" width="4.28515625" style="198" customWidth="1"/>
    <col min="1148" max="1148" width="4.85546875" style="198" customWidth="1"/>
    <col min="1149" max="1149" width="4.42578125" style="198" customWidth="1"/>
    <col min="1150" max="1150" width="47.28515625" style="198" customWidth="1"/>
    <col min="1151" max="1151" width="15.85546875" style="198" customWidth="1"/>
    <col min="1152" max="1152" width="14.28515625" style="198" customWidth="1"/>
    <col min="1153" max="1153" width="15.140625" style="198" customWidth="1"/>
    <col min="1154" max="1154" width="16.7109375" style="198" customWidth="1"/>
    <col min="1155" max="1155" width="17.140625" style="198" customWidth="1"/>
    <col min="1156" max="1156" width="14.7109375" style="198" customWidth="1"/>
    <col min="1157" max="1157" width="15.5703125" style="198" customWidth="1"/>
    <col min="1158" max="1158" width="16" style="198" customWidth="1"/>
    <col min="1159" max="1159" width="14.85546875" style="198" customWidth="1"/>
    <col min="1160" max="1161" width="15" style="198" customWidth="1"/>
    <col min="1162" max="1162" width="15.28515625" style="198" customWidth="1"/>
    <col min="1163" max="1163" width="9.42578125" style="198"/>
    <col min="1164" max="1164" width="14.28515625" style="198" bestFit="1" customWidth="1"/>
    <col min="1165" max="1165" width="13.140625" style="198" customWidth="1"/>
    <col min="1166" max="1166" width="13.42578125" style="198" customWidth="1"/>
    <col min="1167" max="1167" width="15.140625" style="198" customWidth="1"/>
    <col min="1168" max="1402" width="9.42578125" style="198"/>
    <col min="1403" max="1403" width="4.28515625" style="198" customWidth="1"/>
    <col min="1404" max="1404" width="4.85546875" style="198" customWidth="1"/>
    <col min="1405" max="1405" width="4.42578125" style="198" customWidth="1"/>
    <col min="1406" max="1406" width="47.28515625" style="198" customWidth="1"/>
    <col min="1407" max="1407" width="15.85546875" style="198" customWidth="1"/>
    <col min="1408" max="1408" width="14.28515625" style="198" customWidth="1"/>
    <col min="1409" max="1409" width="15.140625" style="198" customWidth="1"/>
    <col min="1410" max="1410" width="16.7109375" style="198" customWidth="1"/>
    <col min="1411" max="1411" width="17.140625" style="198" customWidth="1"/>
    <col min="1412" max="1412" width="14.7109375" style="198" customWidth="1"/>
    <col min="1413" max="1413" width="15.5703125" style="198" customWidth="1"/>
    <col min="1414" max="1414" width="16" style="198" customWidth="1"/>
    <col min="1415" max="1415" width="14.85546875" style="198" customWidth="1"/>
    <col min="1416" max="1417" width="15" style="198" customWidth="1"/>
    <col min="1418" max="1418" width="15.28515625" style="198" customWidth="1"/>
    <col min="1419" max="1419" width="9.42578125" style="198"/>
    <col min="1420" max="1420" width="14.28515625" style="198" bestFit="1" customWidth="1"/>
    <col min="1421" max="1421" width="13.140625" style="198" customWidth="1"/>
    <col min="1422" max="1422" width="13.42578125" style="198" customWidth="1"/>
    <col min="1423" max="1423" width="15.140625" style="198" customWidth="1"/>
    <col min="1424" max="1658" width="9.42578125" style="198"/>
    <col min="1659" max="1659" width="4.28515625" style="198" customWidth="1"/>
    <col min="1660" max="1660" width="4.85546875" style="198" customWidth="1"/>
    <col min="1661" max="1661" width="4.42578125" style="198" customWidth="1"/>
    <col min="1662" max="1662" width="47.28515625" style="198" customWidth="1"/>
    <col min="1663" max="1663" width="15.85546875" style="198" customWidth="1"/>
    <col min="1664" max="1664" width="14.28515625" style="198" customWidth="1"/>
    <col min="1665" max="1665" width="15.140625" style="198" customWidth="1"/>
    <col min="1666" max="1666" width="16.7109375" style="198" customWidth="1"/>
    <col min="1667" max="1667" width="17.140625" style="198" customWidth="1"/>
    <col min="1668" max="1668" width="14.7109375" style="198" customWidth="1"/>
    <col min="1669" max="1669" width="15.5703125" style="198" customWidth="1"/>
    <col min="1670" max="1670" width="16" style="198" customWidth="1"/>
    <col min="1671" max="1671" width="14.85546875" style="198" customWidth="1"/>
    <col min="1672" max="1673" width="15" style="198" customWidth="1"/>
    <col min="1674" max="1674" width="15.28515625" style="198" customWidth="1"/>
    <col min="1675" max="1675" width="9.42578125" style="198"/>
    <col min="1676" max="1676" width="14.28515625" style="198" bestFit="1" customWidth="1"/>
    <col min="1677" max="1677" width="13.140625" style="198" customWidth="1"/>
    <col min="1678" max="1678" width="13.42578125" style="198" customWidth="1"/>
    <col min="1679" max="1679" width="15.140625" style="198" customWidth="1"/>
    <col min="1680" max="1914" width="9.42578125" style="198"/>
    <col min="1915" max="1915" width="4.28515625" style="198" customWidth="1"/>
    <col min="1916" max="1916" width="4.85546875" style="198" customWidth="1"/>
    <col min="1917" max="1917" width="4.42578125" style="198" customWidth="1"/>
    <col min="1918" max="1918" width="47.28515625" style="198" customWidth="1"/>
    <col min="1919" max="1919" width="15.85546875" style="198" customWidth="1"/>
    <col min="1920" max="1920" width="14.28515625" style="198" customWidth="1"/>
    <col min="1921" max="1921" width="15.140625" style="198" customWidth="1"/>
    <col min="1922" max="1922" width="16.7109375" style="198" customWidth="1"/>
    <col min="1923" max="1923" width="17.140625" style="198" customWidth="1"/>
    <col min="1924" max="1924" width="14.7109375" style="198" customWidth="1"/>
    <col min="1925" max="1925" width="15.5703125" style="198" customWidth="1"/>
    <col min="1926" max="1926" width="16" style="198" customWidth="1"/>
    <col min="1927" max="1927" width="14.85546875" style="198" customWidth="1"/>
    <col min="1928" max="1929" width="15" style="198" customWidth="1"/>
    <col min="1930" max="1930" width="15.28515625" style="198" customWidth="1"/>
    <col min="1931" max="1931" width="9.42578125" style="198"/>
    <col min="1932" max="1932" width="14.28515625" style="198" bestFit="1" customWidth="1"/>
    <col min="1933" max="1933" width="13.140625" style="198" customWidth="1"/>
    <col min="1934" max="1934" width="13.42578125" style="198" customWidth="1"/>
    <col min="1935" max="1935" width="15.140625" style="198" customWidth="1"/>
    <col min="1936" max="2170" width="9.42578125" style="198"/>
    <col min="2171" max="2171" width="4.28515625" style="198" customWidth="1"/>
    <col min="2172" max="2172" width="4.85546875" style="198" customWidth="1"/>
    <col min="2173" max="2173" width="4.42578125" style="198" customWidth="1"/>
    <col min="2174" max="2174" width="47.28515625" style="198" customWidth="1"/>
    <col min="2175" max="2175" width="15.85546875" style="198" customWidth="1"/>
    <col min="2176" max="2176" width="14.28515625" style="198" customWidth="1"/>
    <col min="2177" max="2177" width="15.140625" style="198" customWidth="1"/>
    <col min="2178" max="2178" width="16.7109375" style="198" customWidth="1"/>
    <col min="2179" max="2179" width="17.140625" style="198" customWidth="1"/>
    <col min="2180" max="2180" width="14.7109375" style="198" customWidth="1"/>
    <col min="2181" max="2181" width="15.5703125" style="198" customWidth="1"/>
    <col min="2182" max="2182" width="16" style="198" customWidth="1"/>
    <col min="2183" max="2183" width="14.85546875" style="198" customWidth="1"/>
    <col min="2184" max="2185" width="15" style="198" customWidth="1"/>
    <col min="2186" max="2186" width="15.28515625" style="198" customWidth="1"/>
    <col min="2187" max="2187" width="9.42578125" style="198"/>
    <col min="2188" max="2188" width="14.28515625" style="198" bestFit="1" customWidth="1"/>
    <col min="2189" max="2189" width="13.140625" style="198" customWidth="1"/>
    <col min="2190" max="2190" width="13.42578125" style="198" customWidth="1"/>
    <col min="2191" max="2191" width="15.140625" style="198" customWidth="1"/>
    <col min="2192" max="2426" width="9.42578125" style="198"/>
    <col min="2427" max="2427" width="4.28515625" style="198" customWidth="1"/>
    <col min="2428" max="2428" width="4.85546875" style="198" customWidth="1"/>
    <col min="2429" max="2429" width="4.42578125" style="198" customWidth="1"/>
    <col min="2430" max="2430" width="47.28515625" style="198" customWidth="1"/>
    <col min="2431" max="2431" width="15.85546875" style="198" customWidth="1"/>
    <col min="2432" max="2432" width="14.28515625" style="198" customWidth="1"/>
    <col min="2433" max="2433" width="15.140625" style="198" customWidth="1"/>
    <col min="2434" max="2434" width="16.7109375" style="198" customWidth="1"/>
    <col min="2435" max="2435" width="17.140625" style="198" customWidth="1"/>
    <col min="2436" max="2436" width="14.7109375" style="198" customWidth="1"/>
    <col min="2437" max="2437" width="15.5703125" style="198" customWidth="1"/>
    <col min="2438" max="2438" width="16" style="198" customWidth="1"/>
    <col min="2439" max="2439" width="14.85546875" style="198" customWidth="1"/>
    <col min="2440" max="2441" width="15" style="198" customWidth="1"/>
    <col min="2442" max="2442" width="15.28515625" style="198" customWidth="1"/>
    <col min="2443" max="2443" width="9.42578125" style="198"/>
    <col min="2444" max="2444" width="14.28515625" style="198" bestFit="1" customWidth="1"/>
    <col min="2445" max="2445" width="13.140625" style="198" customWidth="1"/>
    <col min="2446" max="2446" width="13.42578125" style="198" customWidth="1"/>
    <col min="2447" max="2447" width="15.140625" style="198" customWidth="1"/>
    <col min="2448" max="2682" width="9.42578125" style="198"/>
    <col min="2683" max="2683" width="4.28515625" style="198" customWidth="1"/>
    <col min="2684" max="2684" width="4.85546875" style="198" customWidth="1"/>
    <col min="2685" max="2685" width="4.42578125" style="198" customWidth="1"/>
    <col min="2686" max="2686" width="47.28515625" style="198" customWidth="1"/>
    <col min="2687" max="2687" width="15.85546875" style="198" customWidth="1"/>
    <col min="2688" max="2688" width="14.28515625" style="198" customWidth="1"/>
    <col min="2689" max="2689" width="15.140625" style="198" customWidth="1"/>
    <col min="2690" max="2690" width="16.7109375" style="198" customWidth="1"/>
    <col min="2691" max="2691" width="17.140625" style="198" customWidth="1"/>
    <col min="2692" max="2692" width="14.7109375" style="198" customWidth="1"/>
    <col min="2693" max="2693" width="15.5703125" style="198" customWidth="1"/>
    <col min="2694" max="2694" width="16" style="198" customWidth="1"/>
    <col min="2695" max="2695" width="14.85546875" style="198" customWidth="1"/>
    <col min="2696" max="2697" width="15" style="198" customWidth="1"/>
    <col min="2698" max="2698" width="15.28515625" style="198" customWidth="1"/>
    <col min="2699" max="2699" width="9.42578125" style="198"/>
    <col min="2700" max="2700" width="14.28515625" style="198" bestFit="1" customWidth="1"/>
    <col min="2701" max="2701" width="13.140625" style="198" customWidth="1"/>
    <col min="2702" max="2702" width="13.42578125" style="198" customWidth="1"/>
    <col min="2703" max="2703" width="15.140625" style="198" customWidth="1"/>
    <col min="2704" max="2938" width="9.42578125" style="198"/>
    <col min="2939" max="2939" width="4.28515625" style="198" customWidth="1"/>
    <col min="2940" max="2940" width="4.85546875" style="198" customWidth="1"/>
    <col min="2941" max="2941" width="4.42578125" style="198" customWidth="1"/>
    <col min="2942" max="2942" width="47.28515625" style="198" customWidth="1"/>
    <col min="2943" max="2943" width="15.85546875" style="198" customWidth="1"/>
    <col min="2944" max="2944" width="14.28515625" style="198" customWidth="1"/>
    <col min="2945" max="2945" width="15.140625" style="198" customWidth="1"/>
    <col min="2946" max="2946" width="16.7109375" style="198" customWidth="1"/>
    <col min="2947" max="2947" width="17.140625" style="198" customWidth="1"/>
    <col min="2948" max="2948" width="14.7109375" style="198" customWidth="1"/>
    <col min="2949" max="2949" width="15.5703125" style="198" customWidth="1"/>
    <col min="2950" max="2950" width="16" style="198" customWidth="1"/>
    <col min="2951" max="2951" width="14.85546875" style="198" customWidth="1"/>
    <col min="2952" max="2953" width="15" style="198" customWidth="1"/>
    <col min="2954" max="2954" width="15.28515625" style="198" customWidth="1"/>
    <col min="2955" max="2955" width="9.42578125" style="198"/>
    <col min="2956" max="2956" width="14.28515625" style="198" bestFit="1" customWidth="1"/>
    <col min="2957" max="2957" width="13.140625" style="198" customWidth="1"/>
    <col min="2958" max="2958" width="13.42578125" style="198" customWidth="1"/>
    <col min="2959" max="2959" width="15.140625" style="198" customWidth="1"/>
    <col min="2960" max="3194" width="9.42578125" style="198"/>
    <col min="3195" max="3195" width="4.28515625" style="198" customWidth="1"/>
    <col min="3196" max="3196" width="4.85546875" style="198" customWidth="1"/>
    <col min="3197" max="3197" width="4.42578125" style="198" customWidth="1"/>
    <col min="3198" max="3198" width="47.28515625" style="198" customWidth="1"/>
    <col min="3199" max="3199" width="15.85546875" style="198" customWidth="1"/>
    <col min="3200" max="3200" width="14.28515625" style="198" customWidth="1"/>
    <col min="3201" max="3201" width="15.140625" style="198" customWidth="1"/>
    <col min="3202" max="3202" width="16.7109375" style="198" customWidth="1"/>
    <col min="3203" max="3203" width="17.140625" style="198" customWidth="1"/>
    <col min="3204" max="3204" width="14.7109375" style="198" customWidth="1"/>
    <col min="3205" max="3205" width="15.5703125" style="198" customWidth="1"/>
    <col min="3206" max="3206" width="16" style="198" customWidth="1"/>
    <col min="3207" max="3207" width="14.85546875" style="198" customWidth="1"/>
    <col min="3208" max="3209" width="15" style="198" customWidth="1"/>
    <col min="3210" max="3210" width="15.28515625" style="198" customWidth="1"/>
    <col min="3211" max="3211" width="9.42578125" style="198"/>
    <col min="3212" max="3212" width="14.28515625" style="198" bestFit="1" customWidth="1"/>
    <col min="3213" max="3213" width="13.140625" style="198" customWidth="1"/>
    <col min="3214" max="3214" width="13.42578125" style="198" customWidth="1"/>
    <col min="3215" max="3215" width="15.140625" style="198" customWidth="1"/>
    <col min="3216" max="3450" width="9.42578125" style="198"/>
    <col min="3451" max="3451" width="4.28515625" style="198" customWidth="1"/>
    <col min="3452" max="3452" width="4.85546875" style="198" customWidth="1"/>
    <col min="3453" max="3453" width="4.42578125" style="198" customWidth="1"/>
    <col min="3454" max="3454" width="47.28515625" style="198" customWidth="1"/>
    <col min="3455" max="3455" width="15.85546875" style="198" customWidth="1"/>
    <col min="3456" max="3456" width="14.28515625" style="198" customWidth="1"/>
    <col min="3457" max="3457" width="15.140625" style="198" customWidth="1"/>
    <col min="3458" max="3458" width="16.7109375" style="198" customWidth="1"/>
    <col min="3459" max="3459" width="17.140625" style="198" customWidth="1"/>
    <col min="3460" max="3460" width="14.7109375" style="198" customWidth="1"/>
    <col min="3461" max="3461" width="15.5703125" style="198" customWidth="1"/>
    <col min="3462" max="3462" width="16" style="198" customWidth="1"/>
    <col min="3463" max="3463" width="14.85546875" style="198" customWidth="1"/>
    <col min="3464" max="3465" width="15" style="198" customWidth="1"/>
    <col min="3466" max="3466" width="15.28515625" style="198" customWidth="1"/>
    <col min="3467" max="3467" width="9.42578125" style="198"/>
    <col min="3468" max="3468" width="14.28515625" style="198" bestFit="1" customWidth="1"/>
    <col min="3469" max="3469" width="13.140625" style="198" customWidth="1"/>
    <col min="3470" max="3470" width="13.42578125" style="198" customWidth="1"/>
    <col min="3471" max="3471" width="15.140625" style="198" customWidth="1"/>
    <col min="3472" max="3706" width="9.42578125" style="198"/>
    <col min="3707" max="3707" width="4.28515625" style="198" customWidth="1"/>
    <col min="3708" max="3708" width="4.85546875" style="198" customWidth="1"/>
    <col min="3709" max="3709" width="4.42578125" style="198" customWidth="1"/>
    <col min="3710" max="3710" width="47.28515625" style="198" customWidth="1"/>
    <col min="3711" max="3711" width="15.85546875" style="198" customWidth="1"/>
    <col min="3712" max="3712" width="14.28515625" style="198" customWidth="1"/>
    <col min="3713" max="3713" width="15.140625" style="198" customWidth="1"/>
    <col min="3714" max="3714" width="16.7109375" style="198" customWidth="1"/>
    <col min="3715" max="3715" width="17.140625" style="198" customWidth="1"/>
    <col min="3716" max="3716" width="14.7109375" style="198" customWidth="1"/>
    <col min="3717" max="3717" width="15.5703125" style="198" customWidth="1"/>
    <col min="3718" max="3718" width="16" style="198" customWidth="1"/>
    <col min="3719" max="3719" width="14.85546875" style="198" customWidth="1"/>
    <col min="3720" max="3721" width="15" style="198" customWidth="1"/>
    <col min="3722" max="3722" width="15.28515625" style="198" customWidth="1"/>
    <col min="3723" max="3723" width="9.42578125" style="198"/>
    <col min="3724" max="3724" width="14.28515625" style="198" bestFit="1" customWidth="1"/>
    <col min="3725" max="3725" width="13.140625" style="198" customWidth="1"/>
    <col min="3726" max="3726" width="13.42578125" style="198" customWidth="1"/>
    <col min="3727" max="3727" width="15.140625" style="198" customWidth="1"/>
    <col min="3728" max="3962" width="9.42578125" style="198"/>
    <col min="3963" max="3963" width="4.28515625" style="198" customWidth="1"/>
    <col min="3964" max="3964" width="4.85546875" style="198" customWidth="1"/>
    <col min="3965" max="3965" width="4.42578125" style="198" customWidth="1"/>
    <col min="3966" max="3966" width="47.28515625" style="198" customWidth="1"/>
    <col min="3967" max="3967" width="15.85546875" style="198" customWidth="1"/>
    <col min="3968" max="3968" width="14.28515625" style="198" customWidth="1"/>
    <col min="3969" max="3969" width="15.140625" style="198" customWidth="1"/>
    <col min="3970" max="3970" width="16.7109375" style="198" customWidth="1"/>
    <col min="3971" max="3971" width="17.140625" style="198" customWidth="1"/>
    <col min="3972" max="3972" width="14.7109375" style="198" customWidth="1"/>
    <col min="3973" max="3973" width="15.5703125" style="198" customWidth="1"/>
    <col min="3974" max="3974" width="16" style="198" customWidth="1"/>
    <col min="3975" max="3975" width="14.85546875" style="198" customWidth="1"/>
    <col min="3976" max="3977" width="15" style="198" customWidth="1"/>
    <col min="3978" max="3978" width="15.28515625" style="198" customWidth="1"/>
    <col min="3979" max="3979" width="9.42578125" style="198"/>
    <col min="3980" max="3980" width="14.28515625" style="198" bestFit="1" customWidth="1"/>
    <col min="3981" max="3981" width="13.140625" style="198" customWidth="1"/>
    <col min="3982" max="3982" width="13.42578125" style="198" customWidth="1"/>
    <col min="3983" max="3983" width="15.140625" style="198" customWidth="1"/>
    <col min="3984" max="4218" width="9.42578125" style="198"/>
    <col min="4219" max="4219" width="4.28515625" style="198" customWidth="1"/>
    <col min="4220" max="4220" width="4.85546875" style="198" customWidth="1"/>
    <col min="4221" max="4221" width="4.42578125" style="198" customWidth="1"/>
    <col min="4222" max="4222" width="47.28515625" style="198" customWidth="1"/>
    <col min="4223" max="4223" width="15.85546875" style="198" customWidth="1"/>
    <col min="4224" max="4224" width="14.28515625" style="198" customWidth="1"/>
    <col min="4225" max="4225" width="15.140625" style="198" customWidth="1"/>
    <col min="4226" max="4226" width="16.7109375" style="198" customWidth="1"/>
    <col min="4227" max="4227" width="17.140625" style="198" customWidth="1"/>
    <col min="4228" max="4228" width="14.7109375" style="198" customWidth="1"/>
    <col min="4229" max="4229" width="15.5703125" style="198" customWidth="1"/>
    <col min="4230" max="4230" width="16" style="198" customWidth="1"/>
    <col min="4231" max="4231" width="14.85546875" style="198" customWidth="1"/>
    <col min="4232" max="4233" width="15" style="198" customWidth="1"/>
    <col min="4234" max="4234" width="15.28515625" style="198" customWidth="1"/>
    <col min="4235" max="4235" width="9.42578125" style="198"/>
    <col min="4236" max="4236" width="14.28515625" style="198" bestFit="1" customWidth="1"/>
    <col min="4237" max="4237" width="13.140625" style="198" customWidth="1"/>
    <col min="4238" max="4238" width="13.42578125" style="198" customWidth="1"/>
    <col min="4239" max="4239" width="15.140625" style="198" customWidth="1"/>
    <col min="4240" max="4474" width="9.42578125" style="198"/>
    <col min="4475" max="4475" width="4.28515625" style="198" customWidth="1"/>
    <col min="4476" max="4476" width="4.85546875" style="198" customWidth="1"/>
    <col min="4477" max="4477" width="4.42578125" style="198" customWidth="1"/>
    <col min="4478" max="4478" width="47.28515625" style="198" customWidth="1"/>
    <col min="4479" max="4479" width="15.85546875" style="198" customWidth="1"/>
    <col min="4480" max="4480" width="14.28515625" style="198" customWidth="1"/>
    <col min="4481" max="4481" width="15.140625" style="198" customWidth="1"/>
    <col min="4482" max="4482" width="16.7109375" style="198" customWidth="1"/>
    <col min="4483" max="4483" width="17.140625" style="198" customWidth="1"/>
    <col min="4484" max="4484" width="14.7109375" style="198" customWidth="1"/>
    <col min="4485" max="4485" width="15.5703125" style="198" customWidth="1"/>
    <col min="4486" max="4486" width="16" style="198" customWidth="1"/>
    <col min="4487" max="4487" width="14.85546875" style="198" customWidth="1"/>
    <col min="4488" max="4489" width="15" style="198" customWidth="1"/>
    <col min="4490" max="4490" width="15.28515625" style="198" customWidth="1"/>
    <col min="4491" max="4491" width="9.42578125" style="198"/>
    <col min="4492" max="4492" width="14.28515625" style="198" bestFit="1" customWidth="1"/>
    <col min="4493" max="4493" width="13.140625" style="198" customWidth="1"/>
    <col min="4494" max="4494" width="13.42578125" style="198" customWidth="1"/>
    <col min="4495" max="4495" width="15.140625" style="198" customWidth="1"/>
    <col min="4496" max="4730" width="9.42578125" style="198"/>
    <col min="4731" max="4731" width="4.28515625" style="198" customWidth="1"/>
    <col min="4732" max="4732" width="4.85546875" style="198" customWidth="1"/>
    <col min="4733" max="4733" width="4.42578125" style="198" customWidth="1"/>
    <col min="4734" max="4734" width="47.28515625" style="198" customWidth="1"/>
    <col min="4735" max="4735" width="15.85546875" style="198" customWidth="1"/>
    <col min="4736" max="4736" width="14.28515625" style="198" customWidth="1"/>
    <col min="4737" max="4737" width="15.140625" style="198" customWidth="1"/>
    <col min="4738" max="4738" width="16.7109375" style="198" customWidth="1"/>
    <col min="4739" max="4739" width="17.140625" style="198" customWidth="1"/>
    <col min="4740" max="4740" width="14.7109375" style="198" customWidth="1"/>
    <col min="4741" max="4741" width="15.5703125" style="198" customWidth="1"/>
    <col min="4742" max="4742" width="16" style="198" customWidth="1"/>
    <col min="4743" max="4743" width="14.85546875" style="198" customWidth="1"/>
    <col min="4744" max="4745" width="15" style="198" customWidth="1"/>
    <col min="4746" max="4746" width="15.28515625" style="198" customWidth="1"/>
    <col min="4747" max="4747" width="9.42578125" style="198"/>
    <col min="4748" max="4748" width="14.28515625" style="198" bestFit="1" customWidth="1"/>
    <col min="4749" max="4749" width="13.140625" style="198" customWidth="1"/>
    <col min="4750" max="4750" width="13.42578125" style="198" customWidth="1"/>
    <col min="4751" max="4751" width="15.140625" style="198" customWidth="1"/>
    <col min="4752" max="4986" width="9.42578125" style="198"/>
    <col min="4987" max="4987" width="4.28515625" style="198" customWidth="1"/>
    <col min="4988" max="4988" width="4.85546875" style="198" customWidth="1"/>
    <col min="4989" max="4989" width="4.42578125" style="198" customWidth="1"/>
    <col min="4990" max="4990" width="47.28515625" style="198" customWidth="1"/>
    <col min="4991" max="4991" width="15.85546875" style="198" customWidth="1"/>
    <col min="4992" max="4992" width="14.28515625" style="198" customWidth="1"/>
    <col min="4993" max="4993" width="15.140625" style="198" customWidth="1"/>
    <col min="4994" max="4994" width="16.7109375" style="198" customWidth="1"/>
    <col min="4995" max="4995" width="17.140625" style="198" customWidth="1"/>
    <col min="4996" max="4996" width="14.7109375" style="198" customWidth="1"/>
    <col min="4997" max="4997" width="15.5703125" style="198" customWidth="1"/>
    <col min="4998" max="4998" width="16" style="198" customWidth="1"/>
    <col min="4999" max="4999" width="14.85546875" style="198" customWidth="1"/>
    <col min="5000" max="5001" width="15" style="198" customWidth="1"/>
    <col min="5002" max="5002" width="15.28515625" style="198" customWidth="1"/>
    <col min="5003" max="5003" width="9.42578125" style="198"/>
    <col min="5004" max="5004" width="14.28515625" style="198" bestFit="1" customWidth="1"/>
    <col min="5005" max="5005" width="13.140625" style="198" customWidth="1"/>
    <col min="5006" max="5006" width="13.42578125" style="198" customWidth="1"/>
    <col min="5007" max="5007" width="15.140625" style="198" customWidth="1"/>
    <col min="5008" max="5242" width="9.42578125" style="198"/>
    <col min="5243" max="5243" width="4.28515625" style="198" customWidth="1"/>
    <col min="5244" max="5244" width="4.85546875" style="198" customWidth="1"/>
    <col min="5245" max="5245" width="4.42578125" style="198" customWidth="1"/>
    <col min="5246" max="5246" width="47.28515625" style="198" customWidth="1"/>
    <col min="5247" max="5247" width="15.85546875" style="198" customWidth="1"/>
    <col min="5248" max="5248" width="14.28515625" style="198" customWidth="1"/>
    <col min="5249" max="5249" width="15.140625" style="198" customWidth="1"/>
    <col min="5250" max="5250" width="16.7109375" style="198" customWidth="1"/>
    <col min="5251" max="5251" width="17.140625" style="198" customWidth="1"/>
    <col min="5252" max="5252" width="14.7109375" style="198" customWidth="1"/>
    <col min="5253" max="5253" width="15.5703125" style="198" customWidth="1"/>
    <col min="5254" max="5254" width="16" style="198" customWidth="1"/>
    <col min="5255" max="5255" width="14.85546875" style="198" customWidth="1"/>
    <col min="5256" max="5257" width="15" style="198" customWidth="1"/>
    <col min="5258" max="5258" width="15.28515625" style="198" customWidth="1"/>
    <col min="5259" max="5259" width="9.42578125" style="198"/>
    <col min="5260" max="5260" width="14.28515625" style="198" bestFit="1" customWidth="1"/>
    <col min="5261" max="5261" width="13.140625" style="198" customWidth="1"/>
    <col min="5262" max="5262" width="13.42578125" style="198" customWidth="1"/>
    <col min="5263" max="5263" width="15.140625" style="198" customWidth="1"/>
    <col min="5264" max="5498" width="9.42578125" style="198"/>
    <col min="5499" max="5499" width="4.28515625" style="198" customWidth="1"/>
    <col min="5500" max="5500" width="4.85546875" style="198" customWidth="1"/>
    <col min="5501" max="5501" width="4.42578125" style="198" customWidth="1"/>
    <col min="5502" max="5502" width="47.28515625" style="198" customWidth="1"/>
    <col min="5503" max="5503" width="15.85546875" style="198" customWidth="1"/>
    <col min="5504" max="5504" width="14.28515625" style="198" customWidth="1"/>
    <col min="5505" max="5505" width="15.140625" style="198" customWidth="1"/>
    <col min="5506" max="5506" width="16.7109375" style="198" customWidth="1"/>
    <col min="5507" max="5507" width="17.140625" style="198" customWidth="1"/>
    <col min="5508" max="5508" width="14.7109375" style="198" customWidth="1"/>
    <col min="5509" max="5509" width="15.5703125" style="198" customWidth="1"/>
    <col min="5510" max="5510" width="16" style="198" customWidth="1"/>
    <col min="5511" max="5511" width="14.85546875" style="198" customWidth="1"/>
    <col min="5512" max="5513" width="15" style="198" customWidth="1"/>
    <col min="5514" max="5514" width="15.28515625" style="198" customWidth="1"/>
    <col min="5515" max="5515" width="9.42578125" style="198"/>
    <col min="5516" max="5516" width="14.28515625" style="198" bestFit="1" customWidth="1"/>
    <col min="5517" max="5517" width="13.140625" style="198" customWidth="1"/>
    <col min="5518" max="5518" width="13.42578125" style="198" customWidth="1"/>
    <col min="5519" max="5519" width="15.140625" style="198" customWidth="1"/>
    <col min="5520" max="5754" width="9.42578125" style="198"/>
    <col min="5755" max="5755" width="4.28515625" style="198" customWidth="1"/>
    <col min="5756" max="5756" width="4.85546875" style="198" customWidth="1"/>
    <col min="5757" max="5757" width="4.42578125" style="198" customWidth="1"/>
    <col min="5758" max="5758" width="47.28515625" style="198" customWidth="1"/>
    <col min="5759" max="5759" width="15.85546875" style="198" customWidth="1"/>
    <col min="5760" max="5760" width="14.28515625" style="198" customWidth="1"/>
    <col min="5761" max="5761" width="15.140625" style="198" customWidth="1"/>
    <col min="5762" max="5762" width="16.7109375" style="198" customWidth="1"/>
    <col min="5763" max="5763" width="17.140625" style="198" customWidth="1"/>
    <col min="5764" max="5764" width="14.7109375" style="198" customWidth="1"/>
    <col min="5765" max="5765" width="15.5703125" style="198" customWidth="1"/>
    <col min="5766" max="5766" width="16" style="198" customWidth="1"/>
    <col min="5767" max="5767" width="14.85546875" style="198" customWidth="1"/>
    <col min="5768" max="5769" width="15" style="198" customWidth="1"/>
    <col min="5770" max="5770" width="15.28515625" style="198" customWidth="1"/>
    <col min="5771" max="5771" width="9.42578125" style="198"/>
    <col min="5772" max="5772" width="14.28515625" style="198" bestFit="1" customWidth="1"/>
    <col min="5773" max="5773" width="13.140625" style="198" customWidth="1"/>
    <col min="5774" max="5774" width="13.42578125" style="198" customWidth="1"/>
    <col min="5775" max="5775" width="15.140625" style="198" customWidth="1"/>
    <col min="5776" max="6010" width="9.42578125" style="198"/>
    <col min="6011" max="6011" width="4.28515625" style="198" customWidth="1"/>
    <col min="6012" max="6012" width="4.85546875" style="198" customWidth="1"/>
    <col min="6013" max="6013" width="4.42578125" style="198" customWidth="1"/>
    <col min="6014" max="6014" width="47.28515625" style="198" customWidth="1"/>
    <col min="6015" max="6015" width="15.85546875" style="198" customWidth="1"/>
    <col min="6016" max="6016" width="14.28515625" style="198" customWidth="1"/>
    <col min="6017" max="6017" width="15.140625" style="198" customWidth="1"/>
    <col min="6018" max="6018" width="16.7109375" style="198" customWidth="1"/>
    <col min="6019" max="6019" width="17.140625" style="198" customWidth="1"/>
    <col min="6020" max="6020" width="14.7109375" style="198" customWidth="1"/>
    <col min="6021" max="6021" width="15.5703125" style="198" customWidth="1"/>
    <col min="6022" max="6022" width="16" style="198" customWidth="1"/>
    <col min="6023" max="6023" width="14.85546875" style="198" customWidth="1"/>
    <col min="6024" max="6025" width="15" style="198" customWidth="1"/>
    <col min="6026" max="6026" width="15.28515625" style="198" customWidth="1"/>
    <col min="6027" max="6027" width="9.42578125" style="198"/>
    <col min="6028" max="6028" width="14.28515625" style="198" bestFit="1" customWidth="1"/>
    <col min="6029" max="6029" width="13.140625" style="198" customWidth="1"/>
    <col min="6030" max="6030" width="13.42578125" style="198" customWidth="1"/>
    <col min="6031" max="6031" width="15.140625" style="198" customWidth="1"/>
    <col min="6032" max="6266" width="9.42578125" style="198"/>
    <col min="6267" max="6267" width="4.28515625" style="198" customWidth="1"/>
    <col min="6268" max="6268" width="4.85546875" style="198" customWidth="1"/>
    <col min="6269" max="6269" width="4.42578125" style="198" customWidth="1"/>
    <col min="6270" max="6270" width="47.28515625" style="198" customWidth="1"/>
    <col min="6271" max="6271" width="15.85546875" style="198" customWidth="1"/>
    <col min="6272" max="6272" width="14.28515625" style="198" customWidth="1"/>
    <col min="6273" max="6273" width="15.140625" style="198" customWidth="1"/>
    <col min="6274" max="6274" width="16.7109375" style="198" customWidth="1"/>
    <col min="6275" max="6275" width="17.140625" style="198" customWidth="1"/>
    <col min="6276" max="6276" width="14.7109375" style="198" customWidth="1"/>
    <col min="6277" max="6277" width="15.5703125" style="198" customWidth="1"/>
    <col min="6278" max="6278" width="16" style="198" customWidth="1"/>
    <col min="6279" max="6279" width="14.85546875" style="198" customWidth="1"/>
    <col min="6280" max="6281" width="15" style="198" customWidth="1"/>
    <col min="6282" max="6282" width="15.28515625" style="198" customWidth="1"/>
    <col min="6283" max="6283" width="9.42578125" style="198"/>
    <col min="6284" max="6284" width="14.28515625" style="198" bestFit="1" customWidth="1"/>
    <col min="6285" max="6285" width="13.140625" style="198" customWidth="1"/>
    <col min="6286" max="6286" width="13.42578125" style="198" customWidth="1"/>
    <col min="6287" max="6287" width="15.140625" style="198" customWidth="1"/>
    <col min="6288" max="6522" width="9.42578125" style="198"/>
    <col min="6523" max="6523" width="4.28515625" style="198" customWidth="1"/>
    <col min="6524" max="6524" width="4.85546875" style="198" customWidth="1"/>
    <col min="6525" max="6525" width="4.42578125" style="198" customWidth="1"/>
    <col min="6526" max="6526" width="47.28515625" style="198" customWidth="1"/>
    <col min="6527" max="6527" width="15.85546875" style="198" customWidth="1"/>
    <col min="6528" max="6528" width="14.28515625" style="198" customWidth="1"/>
    <col min="6529" max="6529" width="15.140625" style="198" customWidth="1"/>
    <col min="6530" max="6530" width="16.7109375" style="198" customWidth="1"/>
    <col min="6531" max="6531" width="17.140625" style="198" customWidth="1"/>
    <col min="6532" max="6532" width="14.7109375" style="198" customWidth="1"/>
    <col min="6533" max="6533" width="15.5703125" style="198" customWidth="1"/>
    <col min="6534" max="6534" width="16" style="198" customWidth="1"/>
    <col min="6535" max="6535" width="14.85546875" style="198" customWidth="1"/>
    <col min="6536" max="6537" width="15" style="198" customWidth="1"/>
    <col min="6538" max="6538" width="15.28515625" style="198" customWidth="1"/>
    <col min="6539" max="6539" width="9.42578125" style="198"/>
    <col min="6540" max="6540" width="14.28515625" style="198" bestFit="1" customWidth="1"/>
    <col min="6541" max="6541" width="13.140625" style="198" customWidth="1"/>
    <col min="6542" max="6542" width="13.42578125" style="198" customWidth="1"/>
    <col min="6543" max="6543" width="15.140625" style="198" customWidth="1"/>
    <col min="6544" max="6778" width="9.42578125" style="198"/>
    <col min="6779" max="6779" width="4.28515625" style="198" customWidth="1"/>
    <col min="6780" max="6780" width="4.85546875" style="198" customWidth="1"/>
    <col min="6781" max="6781" width="4.42578125" style="198" customWidth="1"/>
    <col min="6782" max="6782" width="47.28515625" style="198" customWidth="1"/>
    <col min="6783" max="6783" width="15.85546875" style="198" customWidth="1"/>
    <col min="6784" max="6784" width="14.28515625" style="198" customWidth="1"/>
    <col min="6785" max="6785" width="15.140625" style="198" customWidth="1"/>
    <col min="6786" max="6786" width="16.7109375" style="198" customWidth="1"/>
    <col min="6787" max="6787" width="17.140625" style="198" customWidth="1"/>
    <col min="6788" max="6788" width="14.7109375" style="198" customWidth="1"/>
    <col min="6789" max="6789" width="15.5703125" style="198" customWidth="1"/>
    <col min="6790" max="6790" width="16" style="198" customWidth="1"/>
    <col min="6791" max="6791" width="14.85546875" style="198" customWidth="1"/>
    <col min="6792" max="6793" width="15" style="198" customWidth="1"/>
    <col min="6794" max="6794" width="15.28515625" style="198" customWidth="1"/>
    <col min="6795" max="6795" width="9.42578125" style="198"/>
    <col min="6796" max="6796" width="14.28515625" style="198" bestFit="1" customWidth="1"/>
    <col min="6797" max="6797" width="13.140625" style="198" customWidth="1"/>
    <col min="6798" max="6798" width="13.42578125" style="198" customWidth="1"/>
    <col min="6799" max="6799" width="15.140625" style="198" customWidth="1"/>
    <col min="6800" max="7034" width="9.42578125" style="198"/>
    <col min="7035" max="7035" width="4.28515625" style="198" customWidth="1"/>
    <col min="7036" max="7036" width="4.85546875" style="198" customWidth="1"/>
    <col min="7037" max="7037" width="4.42578125" style="198" customWidth="1"/>
    <col min="7038" max="7038" width="47.28515625" style="198" customWidth="1"/>
    <col min="7039" max="7039" width="15.85546875" style="198" customWidth="1"/>
    <col min="7040" max="7040" width="14.28515625" style="198" customWidth="1"/>
    <col min="7041" max="7041" width="15.140625" style="198" customWidth="1"/>
    <col min="7042" max="7042" width="16.7109375" style="198" customWidth="1"/>
    <col min="7043" max="7043" width="17.140625" style="198" customWidth="1"/>
    <col min="7044" max="7044" width="14.7109375" style="198" customWidth="1"/>
    <col min="7045" max="7045" width="15.5703125" style="198" customWidth="1"/>
    <col min="7046" max="7046" width="16" style="198" customWidth="1"/>
    <col min="7047" max="7047" width="14.85546875" style="198" customWidth="1"/>
    <col min="7048" max="7049" width="15" style="198" customWidth="1"/>
    <col min="7050" max="7050" width="15.28515625" style="198" customWidth="1"/>
    <col min="7051" max="7051" width="9.42578125" style="198"/>
    <col min="7052" max="7052" width="14.28515625" style="198" bestFit="1" customWidth="1"/>
    <col min="7053" max="7053" width="13.140625" style="198" customWidth="1"/>
    <col min="7054" max="7054" width="13.42578125" style="198" customWidth="1"/>
    <col min="7055" max="7055" width="15.140625" style="198" customWidth="1"/>
    <col min="7056" max="7290" width="9.42578125" style="198"/>
    <col min="7291" max="7291" width="4.28515625" style="198" customWidth="1"/>
    <col min="7292" max="7292" width="4.85546875" style="198" customWidth="1"/>
    <col min="7293" max="7293" width="4.42578125" style="198" customWidth="1"/>
    <col min="7294" max="7294" width="47.28515625" style="198" customWidth="1"/>
    <col min="7295" max="7295" width="15.85546875" style="198" customWidth="1"/>
    <col min="7296" max="7296" width="14.28515625" style="198" customWidth="1"/>
    <col min="7297" max="7297" width="15.140625" style="198" customWidth="1"/>
    <col min="7298" max="7298" width="16.7109375" style="198" customWidth="1"/>
    <col min="7299" max="7299" width="17.140625" style="198" customWidth="1"/>
    <col min="7300" max="7300" width="14.7109375" style="198" customWidth="1"/>
    <col min="7301" max="7301" width="15.5703125" style="198" customWidth="1"/>
    <col min="7302" max="7302" width="16" style="198" customWidth="1"/>
    <col min="7303" max="7303" width="14.85546875" style="198" customWidth="1"/>
    <col min="7304" max="7305" width="15" style="198" customWidth="1"/>
    <col min="7306" max="7306" width="15.28515625" style="198" customWidth="1"/>
    <col min="7307" max="7307" width="9.42578125" style="198"/>
    <col min="7308" max="7308" width="14.28515625" style="198" bestFit="1" customWidth="1"/>
    <col min="7309" max="7309" width="13.140625" style="198" customWidth="1"/>
    <col min="7310" max="7310" width="13.42578125" style="198" customWidth="1"/>
    <col min="7311" max="7311" width="15.140625" style="198" customWidth="1"/>
    <col min="7312" max="7546" width="9.42578125" style="198"/>
    <col min="7547" max="7547" width="4.28515625" style="198" customWidth="1"/>
    <col min="7548" max="7548" width="4.85546875" style="198" customWidth="1"/>
    <col min="7549" max="7549" width="4.42578125" style="198" customWidth="1"/>
    <col min="7550" max="7550" width="47.28515625" style="198" customWidth="1"/>
    <col min="7551" max="7551" width="15.85546875" style="198" customWidth="1"/>
    <col min="7552" max="7552" width="14.28515625" style="198" customWidth="1"/>
    <col min="7553" max="7553" width="15.140625" style="198" customWidth="1"/>
    <col min="7554" max="7554" width="16.7109375" style="198" customWidth="1"/>
    <col min="7555" max="7555" width="17.140625" style="198" customWidth="1"/>
    <col min="7556" max="7556" width="14.7109375" style="198" customWidth="1"/>
    <col min="7557" max="7557" width="15.5703125" style="198" customWidth="1"/>
    <col min="7558" max="7558" width="16" style="198" customWidth="1"/>
    <col min="7559" max="7559" width="14.85546875" style="198" customWidth="1"/>
    <col min="7560" max="7561" width="15" style="198" customWidth="1"/>
    <col min="7562" max="7562" width="15.28515625" style="198" customWidth="1"/>
    <col min="7563" max="7563" width="9.42578125" style="198"/>
    <col min="7564" max="7564" width="14.28515625" style="198" bestFit="1" customWidth="1"/>
    <col min="7565" max="7565" width="13.140625" style="198" customWidth="1"/>
    <col min="7566" max="7566" width="13.42578125" style="198" customWidth="1"/>
    <col min="7567" max="7567" width="15.140625" style="198" customWidth="1"/>
    <col min="7568" max="7802" width="9.42578125" style="198"/>
    <col min="7803" max="7803" width="4.28515625" style="198" customWidth="1"/>
    <col min="7804" max="7804" width="4.85546875" style="198" customWidth="1"/>
    <col min="7805" max="7805" width="4.42578125" style="198" customWidth="1"/>
    <col min="7806" max="7806" width="47.28515625" style="198" customWidth="1"/>
    <col min="7807" max="7807" width="15.85546875" style="198" customWidth="1"/>
    <col min="7808" max="7808" width="14.28515625" style="198" customWidth="1"/>
    <col min="7809" max="7809" width="15.140625" style="198" customWidth="1"/>
    <col min="7810" max="7810" width="16.7109375" style="198" customWidth="1"/>
    <col min="7811" max="7811" width="17.140625" style="198" customWidth="1"/>
    <col min="7812" max="7812" width="14.7109375" style="198" customWidth="1"/>
    <col min="7813" max="7813" width="15.5703125" style="198" customWidth="1"/>
    <col min="7814" max="7814" width="16" style="198" customWidth="1"/>
    <col min="7815" max="7815" width="14.85546875" style="198" customWidth="1"/>
    <col min="7816" max="7817" width="15" style="198" customWidth="1"/>
    <col min="7818" max="7818" width="15.28515625" style="198" customWidth="1"/>
    <col min="7819" max="7819" width="9.42578125" style="198"/>
    <col min="7820" max="7820" width="14.28515625" style="198" bestFit="1" customWidth="1"/>
    <col min="7821" max="7821" width="13.140625" style="198" customWidth="1"/>
    <col min="7822" max="7822" width="13.42578125" style="198" customWidth="1"/>
    <col min="7823" max="7823" width="15.140625" style="198" customWidth="1"/>
    <col min="7824" max="8058" width="9.42578125" style="198"/>
    <col min="8059" max="8059" width="4.28515625" style="198" customWidth="1"/>
    <col min="8060" max="8060" width="4.85546875" style="198" customWidth="1"/>
    <col min="8061" max="8061" width="4.42578125" style="198" customWidth="1"/>
    <col min="8062" max="8062" width="47.28515625" style="198" customWidth="1"/>
    <col min="8063" max="8063" width="15.85546875" style="198" customWidth="1"/>
    <col min="8064" max="8064" width="14.28515625" style="198" customWidth="1"/>
    <col min="8065" max="8065" width="15.140625" style="198" customWidth="1"/>
    <col min="8066" max="8066" width="16.7109375" style="198" customWidth="1"/>
    <col min="8067" max="8067" width="17.140625" style="198" customWidth="1"/>
    <col min="8068" max="8068" width="14.7109375" style="198" customWidth="1"/>
    <col min="8069" max="8069" width="15.5703125" style="198" customWidth="1"/>
    <col min="8070" max="8070" width="16" style="198" customWidth="1"/>
    <col min="8071" max="8071" width="14.85546875" style="198" customWidth="1"/>
    <col min="8072" max="8073" width="15" style="198" customWidth="1"/>
    <col min="8074" max="8074" width="15.28515625" style="198" customWidth="1"/>
    <col min="8075" max="8075" width="9.42578125" style="198"/>
    <col min="8076" max="8076" width="14.28515625" style="198" bestFit="1" customWidth="1"/>
    <col min="8077" max="8077" width="13.140625" style="198" customWidth="1"/>
    <col min="8078" max="8078" width="13.42578125" style="198" customWidth="1"/>
    <col min="8079" max="8079" width="15.140625" style="198" customWidth="1"/>
    <col min="8080" max="8314" width="9.42578125" style="198"/>
    <col min="8315" max="8315" width="4.28515625" style="198" customWidth="1"/>
    <col min="8316" max="8316" width="4.85546875" style="198" customWidth="1"/>
    <col min="8317" max="8317" width="4.42578125" style="198" customWidth="1"/>
    <col min="8318" max="8318" width="47.28515625" style="198" customWidth="1"/>
    <col min="8319" max="8319" width="15.85546875" style="198" customWidth="1"/>
    <col min="8320" max="8320" width="14.28515625" style="198" customWidth="1"/>
    <col min="8321" max="8321" width="15.140625" style="198" customWidth="1"/>
    <col min="8322" max="8322" width="16.7109375" style="198" customWidth="1"/>
    <col min="8323" max="8323" width="17.140625" style="198" customWidth="1"/>
    <col min="8324" max="8324" width="14.7109375" style="198" customWidth="1"/>
    <col min="8325" max="8325" width="15.5703125" style="198" customWidth="1"/>
    <col min="8326" max="8326" width="16" style="198" customWidth="1"/>
    <col min="8327" max="8327" width="14.85546875" style="198" customWidth="1"/>
    <col min="8328" max="8329" width="15" style="198" customWidth="1"/>
    <col min="8330" max="8330" width="15.28515625" style="198" customWidth="1"/>
    <col min="8331" max="8331" width="9.42578125" style="198"/>
    <col min="8332" max="8332" width="14.28515625" style="198" bestFit="1" customWidth="1"/>
    <col min="8333" max="8333" width="13.140625" style="198" customWidth="1"/>
    <col min="8334" max="8334" width="13.42578125" style="198" customWidth="1"/>
    <col min="8335" max="8335" width="15.140625" style="198" customWidth="1"/>
    <col min="8336" max="8570" width="9.42578125" style="198"/>
    <col min="8571" max="8571" width="4.28515625" style="198" customWidth="1"/>
    <col min="8572" max="8572" width="4.85546875" style="198" customWidth="1"/>
    <col min="8573" max="8573" width="4.42578125" style="198" customWidth="1"/>
    <col min="8574" max="8574" width="47.28515625" style="198" customWidth="1"/>
    <col min="8575" max="8575" width="15.85546875" style="198" customWidth="1"/>
    <col min="8576" max="8576" width="14.28515625" style="198" customWidth="1"/>
    <col min="8577" max="8577" width="15.140625" style="198" customWidth="1"/>
    <col min="8578" max="8578" width="16.7109375" style="198" customWidth="1"/>
    <col min="8579" max="8579" width="17.140625" style="198" customWidth="1"/>
    <col min="8580" max="8580" width="14.7109375" style="198" customWidth="1"/>
    <col min="8581" max="8581" width="15.5703125" style="198" customWidth="1"/>
    <col min="8582" max="8582" width="16" style="198" customWidth="1"/>
    <col min="8583" max="8583" width="14.85546875" style="198" customWidth="1"/>
    <col min="8584" max="8585" width="15" style="198" customWidth="1"/>
    <col min="8586" max="8586" width="15.28515625" style="198" customWidth="1"/>
    <col min="8587" max="8587" width="9.42578125" style="198"/>
    <col min="8588" max="8588" width="14.28515625" style="198" bestFit="1" customWidth="1"/>
    <col min="8589" max="8589" width="13.140625" style="198" customWidth="1"/>
    <col min="8590" max="8590" width="13.42578125" style="198" customWidth="1"/>
    <col min="8591" max="8591" width="15.140625" style="198" customWidth="1"/>
    <col min="8592" max="8826" width="9.42578125" style="198"/>
    <col min="8827" max="8827" width="4.28515625" style="198" customWidth="1"/>
    <col min="8828" max="8828" width="4.85546875" style="198" customWidth="1"/>
    <col min="8829" max="8829" width="4.42578125" style="198" customWidth="1"/>
    <col min="8830" max="8830" width="47.28515625" style="198" customWidth="1"/>
    <col min="8831" max="8831" width="15.85546875" style="198" customWidth="1"/>
    <col min="8832" max="8832" width="14.28515625" style="198" customWidth="1"/>
    <col min="8833" max="8833" width="15.140625" style="198" customWidth="1"/>
    <col min="8834" max="8834" width="16.7109375" style="198" customWidth="1"/>
    <col min="8835" max="8835" width="17.140625" style="198" customWidth="1"/>
    <col min="8836" max="8836" width="14.7109375" style="198" customWidth="1"/>
    <col min="8837" max="8837" width="15.5703125" style="198" customWidth="1"/>
    <col min="8838" max="8838" width="16" style="198" customWidth="1"/>
    <col min="8839" max="8839" width="14.85546875" style="198" customWidth="1"/>
    <col min="8840" max="8841" width="15" style="198" customWidth="1"/>
    <col min="8842" max="8842" width="15.28515625" style="198" customWidth="1"/>
    <col min="8843" max="8843" width="9.42578125" style="198"/>
    <col min="8844" max="8844" width="14.28515625" style="198" bestFit="1" customWidth="1"/>
    <col min="8845" max="8845" width="13.140625" style="198" customWidth="1"/>
    <col min="8846" max="8846" width="13.42578125" style="198" customWidth="1"/>
    <col min="8847" max="8847" width="15.140625" style="198" customWidth="1"/>
    <col min="8848" max="9082" width="9.42578125" style="198"/>
    <col min="9083" max="9083" width="4.28515625" style="198" customWidth="1"/>
    <col min="9084" max="9084" width="4.85546875" style="198" customWidth="1"/>
    <col min="9085" max="9085" width="4.42578125" style="198" customWidth="1"/>
    <col min="9086" max="9086" width="47.28515625" style="198" customWidth="1"/>
    <col min="9087" max="9087" width="15.85546875" style="198" customWidth="1"/>
    <col min="9088" max="9088" width="14.28515625" style="198" customWidth="1"/>
    <col min="9089" max="9089" width="15.140625" style="198" customWidth="1"/>
    <col min="9090" max="9090" width="16.7109375" style="198" customWidth="1"/>
    <col min="9091" max="9091" width="17.140625" style="198" customWidth="1"/>
    <col min="9092" max="9092" width="14.7109375" style="198" customWidth="1"/>
    <col min="9093" max="9093" width="15.5703125" style="198" customWidth="1"/>
    <col min="9094" max="9094" width="16" style="198" customWidth="1"/>
    <col min="9095" max="9095" width="14.85546875" style="198" customWidth="1"/>
    <col min="9096" max="9097" width="15" style="198" customWidth="1"/>
    <col min="9098" max="9098" width="15.28515625" style="198" customWidth="1"/>
    <col min="9099" max="9099" width="9.42578125" style="198"/>
    <col min="9100" max="9100" width="14.28515625" style="198" bestFit="1" customWidth="1"/>
    <col min="9101" max="9101" width="13.140625" style="198" customWidth="1"/>
    <col min="9102" max="9102" width="13.42578125" style="198" customWidth="1"/>
    <col min="9103" max="9103" width="15.140625" style="198" customWidth="1"/>
    <col min="9104" max="9338" width="9.42578125" style="198"/>
    <col min="9339" max="9339" width="4.28515625" style="198" customWidth="1"/>
    <col min="9340" max="9340" width="4.85546875" style="198" customWidth="1"/>
    <col min="9341" max="9341" width="4.42578125" style="198" customWidth="1"/>
    <col min="9342" max="9342" width="47.28515625" style="198" customWidth="1"/>
    <col min="9343" max="9343" width="15.85546875" style="198" customWidth="1"/>
    <col min="9344" max="9344" width="14.28515625" style="198" customWidth="1"/>
    <col min="9345" max="9345" width="15.140625" style="198" customWidth="1"/>
    <col min="9346" max="9346" width="16.7109375" style="198" customWidth="1"/>
    <col min="9347" max="9347" width="17.140625" style="198" customWidth="1"/>
    <col min="9348" max="9348" width="14.7109375" style="198" customWidth="1"/>
    <col min="9349" max="9349" width="15.5703125" style="198" customWidth="1"/>
    <col min="9350" max="9350" width="16" style="198" customWidth="1"/>
    <col min="9351" max="9351" width="14.85546875" style="198" customWidth="1"/>
    <col min="9352" max="9353" width="15" style="198" customWidth="1"/>
    <col min="9354" max="9354" width="15.28515625" style="198" customWidth="1"/>
    <col min="9355" max="9355" width="9.42578125" style="198"/>
    <col min="9356" max="9356" width="14.28515625" style="198" bestFit="1" customWidth="1"/>
    <col min="9357" max="9357" width="13.140625" style="198" customWidth="1"/>
    <col min="9358" max="9358" width="13.42578125" style="198" customWidth="1"/>
    <col min="9359" max="9359" width="15.140625" style="198" customWidth="1"/>
    <col min="9360" max="9594" width="9.42578125" style="198"/>
    <col min="9595" max="9595" width="4.28515625" style="198" customWidth="1"/>
    <col min="9596" max="9596" width="4.85546875" style="198" customWidth="1"/>
    <col min="9597" max="9597" width="4.42578125" style="198" customWidth="1"/>
    <col min="9598" max="9598" width="47.28515625" style="198" customWidth="1"/>
    <col min="9599" max="9599" width="15.85546875" style="198" customWidth="1"/>
    <col min="9600" max="9600" width="14.28515625" style="198" customWidth="1"/>
    <col min="9601" max="9601" width="15.140625" style="198" customWidth="1"/>
    <col min="9602" max="9602" width="16.7109375" style="198" customWidth="1"/>
    <col min="9603" max="9603" width="17.140625" style="198" customWidth="1"/>
    <col min="9604" max="9604" width="14.7109375" style="198" customWidth="1"/>
    <col min="9605" max="9605" width="15.5703125" style="198" customWidth="1"/>
    <col min="9606" max="9606" width="16" style="198" customWidth="1"/>
    <col min="9607" max="9607" width="14.85546875" style="198" customWidth="1"/>
    <col min="9608" max="9609" width="15" style="198" customWidth="1"/>
    <col min="9610" max="9610" width="15.28515625" style="198" customWidth="1"/>
    <col min="9611" max="9611" width="9.42578125" style="198"/>
    <col min="9612" max="9612" width="14.28515625" style="198" bestFit="1" customWidth="1"/>
    <col min="9613" max="9613" width="13.140625" style="198" customWidth="1"/>
    <col min="9614" max="9614" width="13.42578125" style="198" customWidth="1"/>
    <col min="9615" max="9615" width="15.140625" style="198" customWidth="1"/>
    <col min="9616" max="9850" width="9.42578125" style="198"/>
    <col min="9851" max="9851" width="4.28515625" style="198" customWidth="1"/>
    <col min="9852" max="9852" width="4.85546875" style="198" customWidth="1"/>
    <col min="9853" max="9853" width="4.42578125" style="198" customWidth="1"/>
    <col min="9854" max="9854" width="47.28515625" style="198" customWidth="1"/>
    <col min="9855" max="9855" width="15.85546875" style="198" customWidth="1"/>
    <col min="9856" max="9856" width="14.28515625" style="198" customWidth="1"/>
    <col min="9857" max="9857" width="15.140625" style="198" customWidth="1"/>
    <col min="9858" max="9858" width="16.7109375" style="198" customWidth="1"/>
    <col min="9859" max="9859" width="17.140625" style="198" customWidth="1"/>
    <col min="9860" max="9860" width="14.7109375" style="198" customWidth="1"/>
    <col min="9861" max="9861" width="15.5703125" style="198" customWidth="1"/>
    <col min="9862" max="9862" width="16" style="198" customWidth="1"/>
    <col min="9863" max="9863" width="14.85546875" style="198" customWidth="1"/>
    <col min="9864" max="9865" width="15" style="198" customWidth="1"/>
    <col min="9866" max="9866" width="15.28515625" style="198" customWidth="1"/>
    <col min="9867" max="9867" width="9.42578125" style="198"/>
    <col min="9868" max="9868" width="14.28515625" style="198" bestFit="1" customWidth="1"/>
    <col min="9869" max="9869" width="13.140625" style="198" customWidth="1"/>
    <col min="9870" max="9870" width="13.42578125" style="198" customWidth="1"/>
    <col min="9871" max="9871" width="15.140625" style="198" customWidth="1"/>
    <col min="9872" max="10106" width="9.42578125" style="198"/>
    <col min="10107" max="10107" width="4.28515625" style="198" customWidth="1"/>
    <col min="10108" max="10108" width="4.85546875" style="198" customWidth="1"/>
    <col min="10109" max="10109" width="4.42578125" style="198" customWidth="1"/>
    <col min="10110" max="10110" width="47.28515625" style="198" customWidth="1"/>
    <col min="10111" max="10111" width="15.85546875" style="198" customWidth="1"/>
    <col min="10112" max="10112" width="14.28515625" style="198" customWidth="1"/>
    <col min="10113" max="10113" width="15.140625" style="198" customWidth="1"/>
    <col min="10114" max="10114" width="16.7109375" style="198" customWidth="1"/>
    <col min="10115" max="10115" width="17.140625" style="198" customWidth="1"/>
    <col min="10116" max="10116" width="14.7109375" style="198" customWidth="1"/>
    <col min="10117" max="10117" width="15.5703125" style="198" customWidth="1"/>
    <col min="10118" max="10118" width="16" style="198" customWidth="1"/>
    <col min="10119" max="10119" width="14.85546875" style="198" customWidth="1"/>
    <col min="10120" max="10121" width="15" style="198" customWidth="1"/>
    <col min="10122" max="10122" width="15.28515625" style="198" customWidth="1"/>
    <col min="10123" max="10123" width="9.42578125" style="198"/>
    <col min="10124" max="10124" width="14.28515625" style="198" bestFit="1" customWidth="1"/>
    <col min="10125" max="10125" width="13.140625" style="198" customWidth="1"/>
    <col min="10126" max="10126" width="13.42578125" style="198" customWidth="1"/>
    <col min="10127" max="10127" width="15.140625" style="198" customWidth="1"/>
    <col min="10128" max="10362" width="9.42578125" style="198"/>
    <col min="10363" max="10363" width="4.28515625" style="198" customWidth="1"/>
    <col min="10364" max="10364" width="4.85546875" style="198" customWidth="1"/>
    <col min="10365" max="10365" width="4.42578125" style="198" customWidth="1"/>
    <col min="10366" max="10366" width="47.28515625" style="198" customWidth="1"/>
    <col min="10367" max="10367" width="15.85546875" style="198" customWidth="1"/>
    <col min="10368" max="10368" width="14.28515625" style="198" customWidth="1"/>
    <col min="10369" max="10369" width="15.140625" style="198" customWidth="1"/>
    <col min="10370" max="10370" width="16.7109375" style="198" customWidth="1"/>
    <col min="10371" max="10371" width="17.140625" style="198" customWidth="1"/>
    <col min="10372" max="10372" width="14.7109375" style="198" customWidth="1"/>
    <col min="10373" max="10373" width="15.5703125" style="198" customWidth="1"/>
    <col min="10374" max="10374" width="16" style="198" customWidth="1"/>
    <col min="10375" max="10375" width="14.85546875" style="198" customWidth="1"/>
    <col min="10376" max="10377" width="15" style="198" customWidth="1"/>
    <col min="10378" max="10378" width="15.28515625" style="198" customWidth="1"/>
    <col min="10379" max="10379" width="9.42578125" style="198"/>
    <col min="10380" max="10380" width="14.28515625" style="198" bestFit="1" customWidth="1"/>
    <col min="10381" max="10381" width="13.140625" style="198" customWidth="1"/>
    <col min="10382" max="10382" width="13.42578125" style="198" customWidth="1"/>
    <col min="10383" max="10383" width="15.140625" style="198" customWidth="1"/>
    <col min="10384" max="10618" width="9.42578125" style="198"/>
    <col min="10619" max="10619" width="4.28515625" style="198" customWidth="1"/>
    <col min="10620" max="10620" width="4.85546875" style="198" customWidth="1"/>
    <col min="10621" max="10621" width="4.42578125" style="198" customWidth="1"/>
    <col min="10622" max="10622" width="47.28515625" style="198" customWidth="1"/>
    <col min="10623" max="10623" width="15.85546875" style="198" customWidth="1"/>
    <col min="10624" max="10624" width="14.28515625" style="198" customWidth="1"/>
    <col min="10625" max="10625" width="15.140625" style="198" customWidth="1"/>
    <col min="10626" max="10626" width="16.7109375" style="198" customWidth="1"/>
    <col min="10627" max="10627" width="17.140625" style="198" customWidth="1"/>
    <col min="10628" max="10628" width="14.7109375" style="198" customWidth="1"/>
    <col min="10629" max="10629" width="15.5703125" style="198" customWidth="1"/>
    <col min="10630" max="10630" width="16" style="198" customWidth="1"/>
    <col min="10631" max="10631" width="14.85546875" style="198" customWidth="1"/>
    <col min="10632" max="10633" width="15" style="198" customWidth="1"/>
    <col min="10634" max="10634" width="15.28515625" style="198" customWidth="1"/>
    <col min="10635" max="10635" width="9.42578125" style="198"/>
    <col min="10636" max="10636" width="14.28515625" style="198" bestFit="1" customWidth="1"/>
    <col min="10637" max="10637" width="13.140625" style="198" customWidth="1"/>
    <col min="10638" max="10638" width="13.42578125" style="198" customWidth="1"/>
    <col min="10639" max="10639" width="15.140625" style="198" customWidth="1"/>
    <col min="10640" max="10874" width="9.42578125" style="198"/>
    <col min="10875" max="10875" width="4.28515625" style="198" customWidth="1"/>
    <col min="10876" max="10876" width="4.85546875" style="198" customWidth="1"/>
    <col min="10877" max="10877" width="4.42578125" style="198" customWidth="1"/>
    <col min="10878" max="10878" width="47.28515625" style="198" customWidth="1"/>
    <col min="10879" max="10879" width="15.85546875" style="198" customWidth="1"/>
    <col min="10880" max="10880" width="14.28515625" style="198" customWidth="1"/>
    <col min="10881" max="10881" width="15.140625" style="198" customWidth="1"/>
    <col min="10882" max="10882" width="16.7109375" style="198" customWidth="1"/>
    <col min="10883" max="10883" width="17.140625" style="198" customWidth="1"/>
    <col min="10884" max="10884" width="14.7109375" style="198" customWidth="1"/>
    <col min="10885" max="10885" width="15.5703125" style="198" customWidth="1"/>
    <col min="10886" max="10886" width="16" style="198" customWidth="1"/>
    <col min="10887" max="10887" width="14.85546875" style="198" customWidth="1"/>
    <col min="10888" max="10889" width="15" style="198" customWidth="1"/>
    <col min="10890" max="10890" width="15.28515625" style="198" customWidth="1"/>
    <col min="10891" max="10891" width="9.42578125" style="198"/>
    <col min="10892" max="10892" width="14.28515625" style="198" bestFit="1" customWidth="1"/>
    <col min="10893" max="10893" width="13.140625" style="198" customWidth="1"/>
    <col min="10894" max="10894" width="13.42578125" style="198" customWidth="1"/>
    <col min="10895" max="10895" width="15.140625" style="198" customWidth="1"/>
    <col min="10896" max="11130" width="9.42578125" style="198"/>
    <col min="11131" max="11131" width="4.28515625" style="198" customWidth="1"/>
    <col min="11132" max="11132" width="4.85546875" style="198" customWidth="1"/>
    <col min="11133" max="11133" width="4.42578125" style="198" customWidth="1"/>
    <col min="11134" max="11134" width="47.28515625" style="198" customWidth="1"/>
    <col min="11135" max="11135" width="15.85546875" style="198" customWidth="1"/>
    <col min="11136" max="11136" width="14.28515625" style="198" customWidth="1"/>
    <col min="11137" max="11137" width="15.140625" style="198" customWidth="1"/>
    <col min="11138" max="11138" width="16.7109375" style="198" customWidth="1"/>
    <col min="11139" max="11139" width="17.140625" style="198" customWidth="1"/>
    <col min="11140" max="11140" width="14.7109375" style="198" customWidth="1"/>
    <col min="11141" max="11141" width="15.5703125" style="198" customWidth="1"/>
    <col min="11142" max="11142" width="16" style="198" customWidth="1"/>
    <col min="11143" max="11143" width="14.85546875" style="198" customWidth="1"/>
    <col min="11144" max="11145" width="15" style="198" customWidth="1"/>
    <col min="11146" max="11146" width="15.28515625" style="198" customWidth="1"/>
    <col min="11147" max="11147" width="9.42578125" style="198"/>
    <col min="11148" max="11148" width="14.28515625" style="198" bestFit="1" customWidth="1"/>
    <col min="11149" max="11149" width="13.140625" style="198" customWidth="1"/>
    <col min="11150" max="11150" width="13.42578125" style="198" customWidth="1"/>
    <col min="11151" max="11151" width="15.140625" style="198" customWidth="1"/>
    <col min="11152" max="11386" width="9.42578125" style="198"/>
    <col min="11387" max="11387" width="4.28515625" style="198" customWidth="1"/>
    <col min="11388" max="11388" width="4.85546875" style="198" customWidth="1"/>
    <col min="11389" max="11389" width="4.42578125" style="198" customWidth="1"/>
    <col min="11390" max="11390" width="47.28515625" style="198" customWidth="1"/>
    <col min="11391" max="11391" width="15.85546875" style="198" customWidth="1"/>
    <col min="11392" max="11392" width="14.28515625" style="198" customWidth="1"/>
    <col min="11393" max="11393" width="15.140625" style="198" customWidth="1"/>
    <col min="11394" max="11394" width="16.7109375" style="198" customWidth="1"/>
    <col min="11395" max="11395" width="17.140625" style="198" customWidth="1"/>
    <col min="11396" max="11396" width="14.7109375" style="198" customWidth="1"/>
    <col min="11397" max="11397" width="15.5703125" style="198" customWidth="1"/>
    <col min="11398" max="11398" width="16" style="198" customWidth="1"/>
    <col min="11399" max="11399" width="14.85546875" style="198" customWidth="1"/>
    <col min="11400" max="11401" width="15" style="198" customWidth="1"/>
    <col min="11402" max="11402" width="15.28515625" style="198" customWidth="1"/>
    <col min="11403" max="11403" width="9.42578125" style="198"/>
    <col min="11404" max="11404" width="14.28515625" style="198" bestFit="1" customWidth="1"/>
    <col min="11405" max="11405" width="13.140625" style="198" customWidth="1"/>
    <col min="11406" max="11406" width="13.42578125" style="198" customWidth="1"/>
    <col min="11407" max="11407" width="15.140625" style="198" customWidth="1"/>
    <col min="11408" max="11642" width="9.42578125" style="198"/>
    <col min="11643" max="11643" width="4.28515625" style="198" customWidth="1"/>
    <col min="11644" max="11644" width="4.85546875" style="198" customWidth="1"/>
    <col min="11645" max="11645" width="4.42578125" style="198" customWidth="1"/>
    <col min="11646" max="11646" width="47.28515625" style="198" customWidth="1"/>
    <col min="11647" max="11647" width="15.85546875" style="198" customWidth="1"/>
    <col min="11648" max="11648" width="14.28515625" style="198" customWidth="1"/>
    <col min="11649" max="11649" width="15.140625" style="198" customWidth="1"/>
    <col min="11650" max="11650" width="16.7109375" style="198" customWidth="1"/>
    <col min="11651" max="11651" width="17.140625" style="198" customWidth="1"/>
    <col min="11652" max="11652" width="14.7109375" style="198" customWidth="1"/>
    <col min="11653" max="11653" width="15.5703125" style="198" customWidth="1"/>
    <col min="11654" max="11654" width="16" style="198" customWidth="1"/>
    <col min="11655" max="11655" width="14.85546875" style="198" customWidth="1"/>
    <col min="11656" max="11657" width="15" style="198" customWidth="1"/>
    <col min="11658" max="11658" width="15.28515625" style="198" customWidth="1"/>
    <col min="11659" max="11659" width="9.42578125" style="198"/>
    <col min="11660" max="11660" width="14.28515625" style="198" bestFit="1" customWidth="1"/>
    <col min="11661" max="11661" width="13.140625" style="198" customWidth="1"/>
    <col min="11662" max="11662" width="13.42578125" style="198" customWidth="1"/>
    <col min="11663" max="11663" width="15.140625" style="198" customWidth="1"/>
    <col min="11664" max="11898" width="9.42578125" style="198"/>
    <col min="11899" max="11899" width="4.28515625" style="198" customWidth="1"/>
    <col min="11900" max="11900" width="4.85546875" style="198" customWidth="1"/>
    <col min="11901" max="11901" width="4.42578125" style="198" customWidth="1"/>
    <col min="11902" max="11902" width="47.28515625" style="198" customWidth="1"/>
    <col min="11903" max="11903" width="15.85546875" style="198" customWidth="1"/>
    <col min="11904" max="11904" width="14.28515625" style="198" customWidth="1"/>
    <col min="11905" max="11905" width="15.140625" style="198" customWidth="1"/>
    <col min="11906" max="11906" width="16.7109375" style="198" customWidth="1"/>
    <col min="11907" max="11907" width="17.140625" style="198" customWidth="1"/>
    <col min="11908" max="11908" width="14.7109375" style="198" customWidth="1"/>
    <col min="11909" max="11909" width="15.5703125" style="198" customWidth="1"/>
    <col min="11910" max="11910" width="16" style="198" customWidth="1"/>
    <col min="11911" max="11911" width="14.85546875" style="198" customWidth="1"/>
    <col min="11912" max="11913" width="15" style="198" customWidth="1"/>
    <col min="11914" max="11914" width="15.28515625" style="198" customWidth="1"/>
    <col min="11915" max="11915" width="9.42578125" style="198"/>
    <col min="11916" max="11916" width="14.28515625" style="198" bestFit="1" customWidth="1"/>
    <col min="11917" max="11917" width="13.140625" style="198" customWidth="1"/>
    <col min="11918" max="11918" width="13.42578125" style="198" customWidth="1"/>
    <col min="11919" max="11919" width="15.140625" style="198" customWidth="1"/>
    <col min="11920" max="12154" width="9.42578125" style="198"/>
    <col min="12155" max="12155" width="4.28515625" style="198" customWidth="1"/>
    <col min="12156" max="12156" width="4.85546875" style="198" customWidth="1"/>
    <col min="12157" max="12157" width="4.42578125" style="198" customWidth="1"/>
    <col min="12158" max="12158" width="47.28515625" style="198" customWidth="1"/>
    <col min="12159" max="12159" width="15.85546875" style="198" customWidth="1"/>
    <col min="12160" max="12160" width="14.28515625" style="198" customWidth="1"/>
    <col min="12161" max="12161" width="15.140625" style="198" customWidth="1"/>
    <col min="12162" max="12162" width="16.7109375" style="198" customWidth="1"/>
    <col min="12163" max="12163" width="17.140625" style="198" customWidth="1"/>
    <col min="12164" max="12164" width="14.7109375" style="198" customWidth="1"/>
    <col min="12165" max="12165" width="15.5703125" style="198" customWidth="1"/>
    <col min="12166" max="12166" width="16" style="198" customWidth="1"/>
    <col min="12167" max="12167" width="14.85546875" style="198" customWidth="1"/>
    <col min="12168" max="12169" width="15" style="198" customWidth="1"/>
    <col min="12170" max="12170" width="15.28515625" style="198" customWidth="1"/>
    <col min="12171" max="12171" width="9.42578125" style="198"/>
    <col min="12172" max="12172" width="14.28515625" style="198" bestFit="1" customWidth="1"/>
    <col min="12173" max="12173" width="13.140625" style="198" customWidth="1"/>
    <col min="12174" max="12174" width="13.42578125" style="198" customWidth="1"/>
    <col min="12175" max="12175" width="15.140625" style="198" customWidth="1"/>
    <col min="12176" max="12410" width="9.42578125" style="198"/>
    <col min="12411" max="12411" width="4.28515625" style="198" customWidth="1"/>
    <col min="12412" max="12412" width="4.85546875" style="198" customWidth="1"/>
    <col min="12413" max="12413" width="4.42578125" style="198" customWidth="1"/>
    <col min="12414" max="12414" width="47.28515625" style="198" customWidth="1"/>
    <col min="12415" max="12415" width="15.85546875" style="198" customWidth="1"/>
    <col min="12416" max="12416" width="14.28515625" style="198" customWidth="1"/>
    <col min="12417" max="12417" width="15.140625" style="198" customWidth="1"/>
    <col min="12418" max="12418" width="16.7109375" style="198" customWidth="1"/>
    <col min="12419" max="12419" width="17.140625" style="198" customWidth="1"/>
    <col min="12420" max="12420" width="14.7109375" style="198" customWidth="1"/>
    <col min="12421" max="12421" width="15.5703125" style="198" customWidth="1"/>
    <col min="12422" max="12422" width="16" style="198" customWidth="1"/>
    <col min="12423" max="12423" width="14.85546875" style="198" customWidth="1"/>
    <col min="12424" max="12425" width="15" style="198" customWidth="1"/>
    <col min="12426" max="12426" width="15.28515625" style="198" customWidth="1"/>
    <col min="12427" max="12427" width="9.42578125" style="198"/>
    <col min="12428" max="12428" width="14.28515625" style="198" bestFit="1" customWidth="1"/>
    <col min="12429" max="12429" width="13.140625" style="198" customWidth="1"/>
    <col min="12430" max="12430" width="13.42578125" style="198" customWidth="1"/>
    <col min="12431" max="12431" width="15.140625" style="198" customWidth="1"/>
    <col min="12432" max="12666" width="9.42578125" style="198"/>
    <col min="12667" max="12667" width="4.28515625" style="198" customWidth="1"/>
    <col min="12668" max="12668" width="4.85546875" style="198" customWidth="1"/>
    <col min="12669" max="12669" width="4.42578125" style="198" customWidth="1"/>
    <col min="12670" max="12670" width="47.28515625" style="198" customWidth="1"/>
    <col min="12671" max="12671" width="15.85546875" style="198" customWidth="1"/>
    <col min="12672" max="12672" width="14.28515625" style="198" customWidth="1"/>
    <col min="12673" max="12673" width="15.140625" style="198" customWidth="1"/>
    <col min="12674" max="12674" width="16.7109375" style="198" customWidth="1"/>
    <col min="12675" max="12675" width="17.140625" style="198" customWidth="1"/>
    <col min="12676" max="12676" width="14.7109375" style="198" customWidth="1"/>
    <col min="12677" max="12677" width="15.5703125" style="198" customWidth="1"/>
    <col min="12678" max="12678" width="16" style="198" customWidth="1"/>
    <col min="12679" max="12679" width="14.85546875" style="198" customWidth="1"/>
    <col min="12680" max="12681" width="15" style="198" customWidth="1"/>
    <col min="12682" max="12682" width="15.28515625" style="198" customWidth="1"/>
    <col min="12683" max="12683" width="9.42578125" style="198"/>
    <col min="12684" max="12684" width="14.28515625" style="198" bestFit="1" customWidth="1"/>
    <col min="12685" max="12685" width="13.140625" style="198" customWidth="1"/>
    <col min="12686" max="12686" width="13.42578125" style="198" customWidth="1"/>
    <col min="12687" max="12687" width="15.140625" style="198" customWidth="1"/>
    <col min="12688" max="12922" width="9.42578125" style="198"/>
    <col min="12923" max="12923" width="4.28515625" style="198" customWidth="1"/>
    <col min="12924" max="12924" width="4.85546875" style="198" customWidth="1"/>
    <col min="12925" max="12925" width="4.42578125" style="198" customWidth="1"/>
    <col min="12926" max="12926" width="47.28515625" style="198" customWidth="1"/>
    <col min="12927" max="12927" width="15.85546875" style="198" customWidth="1"/>
    <col min="12928" max="12928" width="14.28515625" style="198" customWidth="1"/>
    <col min="12929" max="12929" width="15.140625" style="198" customWidth="1"/>
    <col min="12930" max="12930" width="16.7109375" style="198" customWidth="1"/>
    <col min="12931" max="12931" width="17.140625" style="198" customWidth="1"/>
    <col min="12932" max="12932" width="14.7109375" style="198" customWidth="1"/>
    <col min="12933" max="12933" width="15.5703125" style="198" customWidth="1"/>
    <col min="12934" max="12934" width="16" style="198" customWidth="1"/>
    <col min="12935" max="12935" width="14.85546875" style="198" customWidth="1"/>
    <col min="12936" max="12937" width="15" style="198" customWidth="1"/>
    <col min="12938" max="12938" width="15.28515625" style="198" customWidth="1"/>
    <col min="12939" max="12939" width="9.42578125" style="198"/>
    <col min="12940" max="12940" width="14.28515625" style="198" bestFit="1" customWidth="1"/>
    <col min="12941" max="12941" width="13.140625" style="198" customWidth="1"/>
    <col min="12942" max="12942" width="13.42578125" style="198" customWidth="1"/>
    <col min="12943" max="12943" width="15.140625" style="198" customWidth="1"/>
    <col min="12944" max="13178" width="9.42578125" style="198"/>
    <col min="13179" max="13179" width="4.28515625" style="198" customWidth="1"/>
    <col min="13180" max="13180" width="4.85546875" style="198" customWidth="1"/>
    <col min="13181" max="13181" width="4.42578125" style="198" customWidth="1"/>
    <col min="13182" max="13182" width="47.28515625" style="198" customWidth="1"/>
    <col min="13183" max="13183" width="15.85546875" style="198" customWidth="1"/>
    <col min="13184" max="13184" width="14.28515625" style="198" customWidth="1"/>
    <col min="13185" max="13185" width="15.140625" style="198" customWidth="1"/>
    <col min="13186" max="13186" width="16.7109375" style="198" customWidth="1"/>
    <col min="13187" max="13187" width="17.140625" style="198" customWidth="1"/>
    <col min="13188" max="13188" width="14.7109375" style="198" customWidth="1"/>
    <col min="13189" max="13189" width="15.5703125" style="198" customWidth="1"/>
    <col min="13190" max="13190" width="16" style="198" customWidth="1"/>
    <col min="13191" max="13191" width="14.85546875" style="198" customWidth="1"/>
    <col min="13192" max="13193" width="15" style="198" customWidth="1"/>
    <col min="13194" max="13194" width="15.28515625" style="198" customWidth="1"/>
    <col min="13195" max="13195" width="9.42578125" style="198"/>
    <col min="13196" max="13196" width="14.28515625" style="198" bestFit="1" customWidth="1"/>
    <col min="13197" max="13197" width="13.140625" style="198" customWidth="1"/>
    <col min="13198" max="13198" width="13.42578125" style="198" customWidth="1"/>
    <col min="13199" max="13199" width="15.140625" style="198" customWidth="1"/>
    <col min="13200" max="13434" width="9.42578125" style="198"/>
    <col min="13435" max="13435" width="4.28515625" style="198" customWidth="1"/>
    <col min="13436" max="13436" width="4.85546875" style="198" customWidth="1"/>
    <col min="13437" max="13437" width="4.42578125" style="198" customWidth="1"/>
    <col min="13438" max="13438" width="47.28515625" style="198" customWidth="1"/>
    <col min="13439" max="13439" width="15.85546875" style="198" customWidth="1"/>
    <col min="13440" max="13440" width="14.28515625" style="198" customWidth="1"/>
    <col min="13441" max="13441" width="15.140625" style="198" customWidth="1"/>
    <col min="13442" max="13442" width="16.7109375" style="198" customWidth="1"/>
    <col min="13443" max="13443" width="17.140625" style="198" customWidth="1"/>
    <col min="13444" max="13444" width="14.7109375" style="198" customWidth="1"/>
    <col min="13445" max="13445" width="15.5703125" style="198" customWidth="1"/>
    <col min="13446" max="13446" width="16" style="198" customWidth="1"/>
    <col min="13447" max="13447" width="14.85546875" style="198" customWidth="1"/>
    <col min="13448" max="13449" width="15" style="198" customWidth="1"/>
    <col min="13450" max="13450" width="15.28515625" style="198" customWidth="1"/>
    <col min="13451" max="13451" width="9.42578125" style="198"/>
    <col min="13452" max="13452" width="14.28515625" style="198" bestFit="1" customWidth="1"/>
    <col min="13453" max="13453" width="13.140625" style="198" customWidth="1"/>
    <col min="13454" max="13454" width="13.42578125" style="198" customWidth="1"/>
    <col min="13455" max="13455" width="15.140625" style="198" customWidth="1"/>
    <col min="13456" max="13690" width="9.42578125" style="198"/>
    <col min="13691" max="13691" width="4.28515625" style="198" customWidth="1"/>
    <col min="13692" max="13692" width="4.85546875" style="198" customWidth="1"/>
    <col min="13693" max="13693" width="4.42578125" style="198" customWidth="1"/>
    <col min="13694" max="13694" width="47.28515625" style="198" customWidth="1"/>
    <col min="13695" max="13695" width="15.85546875" style="198" customWidth="1"/>
    <col min="13696" max="13696" width="14.28515625" style="198" customWidth="1"/>
    <col min="13697" max="13697" width="15.140625" style="198" customWidth="1"/>
    <col min="13698" max="13698" width="16.7109375" style="198" customWidth="1"/>
    <col min="13699" max="13699" width="17.140625" style="198" customWidth="1"/>
    <col min="13700" max="13700" width="14.7109375" style="198" customWidth="1"/>
    <col min="13701" max="13701" width="15.5703125" style="198" customWidth="1"/>
    <col min="13702" max="13702" width="16" style="198" customWidth="1"/>
    <col min="13703" max="13703" width="14.85546875" style="198" customWidth="1"/>
    <col min="13704" max="13705" width="15" style="198" customWidth="1"/>
    <col min="13706" max="13706" width="15.28515625" style="198" customWidth="1"/>
    <col min="13707" max="13707" width="9.42578125" style="198"/>
    <col min="13708" max="13708" width="14.28515625" style="198" bestFit="1" customWidth="1"/>
    <col min="13709" max="13709" width="13.140625" style="198" customWidth="1"/>
    <col min="13710" max="13710" width="13.42578125" style="198" customWidth="1"/>
    <col min="13711" max="13711" width="15.140625" style="198" customWidth="1"/>
    <col min="13712" max="13946" width="9.42578125" style="198"/>
    <col min="13947" max="13947" width="4.28515625" style="198" customWidth="1"/>
    <col min="13948" max="13948" width="4.85546875" style="198" customWidth="1"/>
    <col min="13949" max="13949" width="4.42578125" style="198" customWidth="1"/>
    <col min="13950" max="13950" width="47.28515625" style="198" customWidth="1"/>
    <col min="13951" max="13951" width="15.85546875" style="198" customWidth="1"/>
    <col min="13952" max="13952" width="14.28515625" style="198" customWidth="1"/>
    <col min="13953" max="13953" width="15.140625" style="198" customWidth="1"/>
    <col min="13954" max="13954" width="16.7109375" style="198" customWidth="1"/>
    <col min="13955" max="13955" width="17.140625" style="198" customWidth="1"/>
    <col min="13956" max="13956" width="14.7109375" style="198" customWidth="1"/>
    <col min="13957" max="13957" width="15.5703125" style="198" customWidth="1"/>
    <col min="13958" max="13958" width="16" style="198" customWidth="1"/>
    <col min="13959" max="13959" width="14.85546875" style="198" customWidth="1"/>
    <col min="13960" max="13961" width="15" style="198" customWidth="1"/>
    <col min="13962" max="13962" width="15.28515625" style="198" customWidth="1"/>
    <col min="13963" max="13963" width="9.42578125" style="198"/>
    <col min="13964" max="13964" width="14.28515625" style="198" bestFit="1" customWidth="1"/>
    <col min="13965" max="13965" width="13.140625" style="198" customWidth="1"/>
    <col min="13966" max="13966" width="13.42578125" style="198" customWidth="1"/>
    <col min="13967" max="13967" width="15.140625" style="198" customWidth="1"/>
    <col min="13968" max="14202" width="9.42578125" style="198"/>
    <col min="14203" max="14203" width="4.28515625" style="198" customWidth="1"/>
    <col min="14204" max="14204" width="4.85546875" style="198" customWidth="1"/>
    <col min="14205" max="14205" width="4.42578125" style="198" customWidth="1"/>
    <col min="14206" max="14206" width="47.28515625" style="198" customWidth="1"/>
    <col min="14207" max="14207" width="15.85546875" style="198" customWidth="1"/>
    <col min="14208" max="14208" width="14.28515625" style="198" customWidth="1"/>
    <col min="14209" max="14209" width="15.140625" style="198" customWidth="1"/>
    <col min="14210" max="14210" width="16.7109375" style="198" customWidth="1"/>
    <col min="14211" max="14211" width="17.140625" style="198" customWidth="1"/>
    <col min="14212" max="14212" width="14.7109375" style="198" customWidth="1"/>
    <col min="14213" max="14213" width="15.5703125" style="198" customWidth="1"/>
    <col min="14214" max="14214" width="16" style="198" customWidth="1"/>
    <col min="14215" max="14215" width="14.85546875" style="198" customWidth="1"/>
    <col min="14216" max="14217" width="15" style="198" customWidth="1"/>
    <col min="14218" max="14218" width="15.28515625" style="198" customWidth="1"/>
    <col min="14219" max="14219" width="9.42578125" style="198"/>
    <col min="14220" max="14220" width="14.28515625" style="198" bestFit="1" customWidth="1"/>
    <col min="14221" max="14221" width="13.140625" style="198" customWidth="1"/>
    <col min="14222" max="14222" width="13.42578125" style="198" customWidth="1"/>
    <col min="14223" max="14223" width="15.140625" style="198" customWidth="1"/>
    <col min="14224" max="14458" width="9.42578125" style="198"/>
    <col min="14459" max="14459" width="4.28515625" style="198" customWidth="1"/>
    <col min="14460" max="14460" width="4.85546875" style="198" customWidth="1"/>
    <col min="14461" max="14461" width="4.42578125" style="198" customWidth="1"/>
    <col min="14462" max="14462" width="47.28515625" style="198" customWidth="1"/>
    <col min="14463" max="14463" width="15.85546875" style="198" customWidth="1"/>
    <col min="14464" max="14464" width="14.28515625" style="198" customWidth="1"/>
    <col min="14465" max="14465" width="15.140625" style="198" customWidth="1"/>
    <col min="14466" max="14466" width="16.7109375" style="198" customWidth="1"/>
    <col min="14467" max="14467" width="17.140625" style="198" customWidth="1"/>
    <col min="14468" max="14468" width="14.7109375" style="198" customWidth="1"/>
    <col min="14469" max="14469" width="15.5703125" style="198" customWidth="1"/>
    <col min="14470" max="14470" width="16" style="198" customWidth="1"/>
    <col min="14471" max="14471" width="14.85546875" style="198" customWidth="1"/>
    <col min="14472" max="14473" width="15" style="198" customWidth="1"/>
    <col min="14474" max="14474" width="15.28515625" style="198" customWidth="1"/>
    <col min="14475" max="14475" width="9.42578125" style="198"/>
    <col min="14476" max="14476" width="14.28515625" style="198" bestFit="1" customWidth="1"/>
    <col min="14477" max="14477" width="13.140625" style="198" customWidth="1"/>
    <col min="14478" max="14478" width="13.42578125" style="198" customWidth="1"/>
    <col min="14479" max="14479" width="15.140625" style="198" customWidth="1"/>
    <col min="14480" max="14714" width="9.42578125" style="198"/>
    <col min="14715" max="14715" width="4.28515625" style="198" customWidth="1"/>
    <col min="14716" max="14716" width="4.85546875" style="198" customWidth="1"/>
    <col min="14717" max="14717" width="4.42578125" style="198" customWidth="1"/>
    <col min="14718" max="14718" width="47.28515625" style="198" customWidth="1"/>
    <col min="14719" max="14719" width="15.85546875" style="198" customWidth="1"/>
    <col min="14720" max="14720" width="14.28515625" style="198" customWidth="1"/>
    <col min="14721" max="14721" width="15.140625" style="198" customWidth="1"/>
    <col min="14722" max="14722" width="16.7109375" style="198" customWidth="1"/>
    <col min="14723" max="14723" width="17.140625" style="198" customWidth="1"/>
    <col min="14724" max="14724" width="14.7109375" style="198" customWidth="1"/>
    <col min="14725" max="14725" width="15.5703125" style="198" customWidth="1"/>
    <col min="14726" max="14726" width="16" style="198" customWidth="1"/>
    <col min="14727" max="14727" width="14.85546875" style="198" customWidth="1"/>
    <col min="14728" max="14729" width="15" style="198" customWidth="1"/>
    <col min="14730" max="14730" width="15.28515625" style="198" customWidth="1"/>
    <col min="14731" max="14731" width="9.42578125" style="198"/>
    <col min="14732" max="14732" width="14.28515625" style="198" bestFit="1" customWidth="1"/>
    <col min="14733" max="14733" width="13.140625" style="198" customWidth="1"/>
    <col min="14734" max="14734" width="13.42578125" style="198" customWidth="1"/>
    <col min="14735" max="14735" width="15.140625" style="198" customWidth="1"/>
    <col min="14736" max="14970" width="9.42578125" style="198"/>
    <col min="14971" max="14971" width="4.28515625" style="198" customWidth="1"/>
    <col min="14972" max="14972" width="4.85546875" style="198" customWidth="1"/>
    <col min="14973" max="14973" width="4.42578125" style="198" customWidth="1"/>
    <col min="14974" max="14974" width="47.28515625" style="198" customWidth="1"/>
    <col min="14975" max="14975" width="15.85546875" style="198" customWidth="1"/>
    <col min="14976" max="14976" width="14.28515625" style="198" customWidth="1"/>
    <col min="14977" max="14977" width="15.140625" style="198" customWidth="1"/>
    <col min="14978" max="14978" width="16.7109375" style="198" customWidth="1"/>
    <col min="14979" max="14979" width="17.140625" style="198" customWidth="1"/>
    <col min="14980" max="14980" width="14.7109375" style="198" customWidth="1"/>
    <col min="14981" max="14981" width="15.5703125" style="198" customWidth="1"/>
    <col min="14982" max="14982" width="16" style="198" customWidth="1"/>
    <col min="14983" max="14983" width="14.85546875" style="198" customWidth="1"/>
    <col min="14984" max="14985" width="15" style="198" customWidth="1"/>
    <col min="14986" max="14986" width="15.28515625" style="198" customWidth="1"/>
    <col min="14987" max="14987" width="9.42578125" style="198"/>
    <col min="14988" max="14988" width="14.28515625" style="198" bestFit="1" customWidth="1"/>
    <col min="14989" max="14989" width="13.140625" style="198" customWidth="1"/>
    <col min="14990" max="14990" width="13.42578125" style="198" customWidth="1"/>
    <col min="14991" max="14991" width="15.140625" style="198" customWidth="1"/>
    <col min="14992" max="15226" width="9.42578125" style="198"/>
    <col min="15227" max="15227" width="4.28515625" style="198" customWidth="1"/>
    <col min="15228" max="15228" width="4.85546875" style="198" customWidth="1"/>
    <col min="15229" max="15229" width="4.42578125" style="198" customWidth="1"/>
    <col min="15230" max="15230" width="47.28515625" style="198" customWidth="1"/>
    <col min="15231" max="15231" width="15.85546875" style="198" customWidth="1"/>
    <col min="15232" max="15232" width="14.28515625" style="198" customWidth="1"/>
    <col min="15233" max="15233" width="15.140625" style="198" customWidth="1"/>
    <col min="15234" max="15234" width="16.7109375" style="198" customWidth="1"/>
    <col min="15235" max="15235" width="17.140625" style="198" customWidth="1"/>
    <col min="15236" max="15236" width="14.7109375" style="198" customWidth="1"/>
    <col min="15237" max="15237" width="15.5703125" style="198" customWidth="1"/>
    <col min="15238" max="15238" width="16" style="198" customWidth="1"/>
    <col min="15239" max="15239" width="14.85546875" style="198" customWidth="1"/>
    <col min="15240" max="15241" width="15" style="198" customWidth="1"/>
    <col min="15242" max="15242" width="15.28515625" style="198" customWidth="1"/>
    <col min="15243" max="15243" width="9.42578125" style="198"/>
    <col min="15244" max="15244" width="14.28515625" style="198" bestFit="1" customWidth="1"/>
    <col min="15245" max="15245" width="13.140625" style="198" customWidth="1"/>
    <col min="15246" max="15246" width="13.42578125" style="198" customWidth="1"/>
    <col min="15247" max="15247" width="15.140625" style="198" customWidth="1"/>
    <col min="15248" max="15482" width="9.42578125" style="198"/>
    <col min="15483" max="15483" width="4.28515625" style="198" customWidth="1"/>
    <col min="15484" max="15484" width="4.85546875" style="198" customWidth="1"/>
    <col min="15485" max="15485" width="4.42578125" style="198" customWidth="1"/>
    <col min="15486" max="15486" width="47.28515625" style="198" customWidth="1"/>
    <col min="15487" max="15487" width="15.85546875" style="198" customWidth="1"/>
    <col min="15488" max="15488" width="14.28515625" style="198" customWidth="1"/>
    <col min="15489" max="15489" width="15.140625" style="198" customWidth="1"/>
    <col min="15490" max="15490" width="16.7109375" style="198" customWidth="1"/>
    <col min="15491" max="15491" width="17.140625" style="198" customWidth="1"/>
    <col min="15492" max="15492" width="14.7109375" style="198" customWidth="1"/>
    <col min="15493" max="15493" width="15.5703125" style="198" customWidth="1"/>
    <col min="15494" max="15494" width="16" style="198" customWidth="1"/>
    <col min="15495" max="15495" width="14.85546875" style="198" customWidth="1"/>
    <col min="15496" max="15497" width="15" style="198" customWidth="1"/>
    <col min="15498" max="15498" width="15.28515625" style="198" customWidth="1"/>
    <col min="15499" max="15499" width="9.42578125" style="198"/>
    <col min="15500" max="15500" width="14.28515625" style="198" bestFit="1" customWidth="1"/>
    <col min="15501" max="15501" width="13.140625" style="198" customWidth="1"/>
    <col min="15502" max="15502" width="13.42578125" style="198" customWidth="1"/>
    <col min="15503" max="15503" width="15.140625" style="198" customWidth="1"/>
    <col min="15504" max="15738" width="9.42578125" style="198"/>
    <col min="15739" max="15739" width="4.28515625" style="198" customWidth="1"/>
    <col min="15740" max="15740" width="4.85546875" style="198" customWidth="1"/>
    <col min="15741" max="15741" width="4.42578125" style="198" customWidth="1"/>
    <col min="15742" max="15742" width="47.28515625" style="198" customWidth="1"/>
    <col min="15743" max="15743" width="15.85546875" style="198" customWidth="1"/>
    <col min="15744" max="15744" width="14.28515625" style="198" customWidth="1"/>
    <col min="15745" max="15745" width="15.140625" style="198" customWidth="1"/>
    <col min="15746" max="15746" width="16.7109375" style="198" customWidth="1"/>
    <col min="15747" max="15747" width="17.140625" style="198" customWidth="1"/>
    <col min="15748" max="15748" width="14.7109375" style="198" customWidth="1"/>
    <col min="15749" max="15749" width="15.5703125" style="198" customWidth="1"/>
    <col min="15750" max="15750" width="16" style="198" customWidth="1"/>
    <col min="15751" max="15751" width="14.85546875" style="198" customWidth="1"/>
    <col min="15752" max="15753" width="15" style="198" customWidth="1"/>
    <col min="15754" max="15754" width="15.28515625" style="198" customWidth="1"/>
    <col min="15755" max="15755" width="9.42578125" style="198"/>
    <col min="15756" max="15756" width="14.28515625" style="198" bestFit="1" customWidth="1"/>
    <col min="15757" max="15757" width="13.140625" style="198" customWidth="1"/>
    <col min="15758" max="15758" width="13.42578125" style="198" customWidth="1"/>
    <col min="15759" max="15759" width="15.140625" style="198" customWidth="1"/>
    <col min="15760" max="15994" width="9.42578125" style="198"/>
    <col min="15995" max="15995" width="4.28515625" style="198" customWidth="1"/>
    <col min="15996" max="15996" width="4.85546875" style="198" customWidth="1"/>
    <col min="15997" max="15997" width="4.42578125" style="198" customWidth="1"/>
    <col min="15998" max="15998" width="47.28515625" style="198" customWidth="1"/>
    <col min="15999" max="15999" width="15.85546875" style="198" customWidth="1"/>
    <col min="16000" max="16000" width="14.28515625" style="198" customWidth="1"/>
    <col min="16001" max="16001" width="15.140625" style="198" customWidth="1"/>
    <col min="16002" max="16002" width="16.7109375" style="198" customWidth="1"/>
    <col min="16003" max="16003" width="17.140625" style="198" customWidth="1"/>
    <col min="16004" max="16004" width="14.7109375" style="198" customWidth="1"/>
    <col min="16005" max="16005" width="15.5703125" style="198" customWidth="1"/>
    <col min="16006" max="16006" width="16" style="198" customWidth="1"/>
    <col min="16007" max="16007" width="14.85546875" style="198" customWidth="1"/>
    <col min="16008" max="16009" width="15" style="198" customWidth="1"/>
    <col min="16010" max="16010" width="15.28515625" style="198" customWidth="1"/>
    <col min="16011" max="16011" width="9.42578125" style="198"/>
    <col min="16012" max="16012" width="14.28515625" style="198" bestFit="1" customWidth="1"/>
    <col min="16013" max="16013" width="13.140625" style="198" customWidth="1"/>
    <col min="16014" max="16014" width="13.42578125" style="198" customWidth="1"/>
    <col min="16015" max="16015" width="15.140625" style="198" customWidth="1"/>
    <col min="16016" max="16384" width="9.42578125" style="198"/>
  </cols>
  <sheetData>
    <row r="1" spans="1:16" s="192" customFormat="1" ht="18" customHeight="1" x14ac:dyDescent="0.25">
      <c r="B1" s="235"/>
      <c r="C1" s="235"/>
      <c r="D1" s="235"/>
      <c r="E1" s="235"/>
      <c r="F1" s="235"/>
      <c r="G1" s="235"/>
      <c r="H1" s="235"/>
      <c r="I1" s="235"/>
      <c r="O1" s="235" t="s">
        <v>235</v>
      </c>
    </row>
    <row r="2" spans="1:16" s="192" customFormat="1" ht="18" customHeight="1" x14ac:dyDescent="0.25">
      <c r="B2" s="235"/>
      <c r="C2" s="235"/>
      <c r="D2" s="235"/>
      <c r="E2" s="235"/>
      <c r="F2" s="235"/>
      <c r="G2" s="235"/>
      <c r="H2" s="235"/>
      <c r="I2" s="235"/>
      <c r="M2" s="365" t="s">
        <v>13</v>
      </c>
      <c r="N2" s="365"/>
      <c r="O2" s="365"/>
      <c r="P2" s="365"/>
    </row>
    <row r="3" spans="1:16" s="192" customFormat="1" ht="18" customHeight="1" x14ac:dyDescent="0.25">
      <c r="B3" s="235"/>
      <c r="C3" s="235"/>
      <c r="D3" s="235"/>
      <c r="E3" s="235"/>
      <c r="F3" s="235"/>
      <c r="G3" s="235"/>
      <c r="H3" s="235"/>
      <c r="I3" s="235"/>
      <c r="M3" s="365" t="s">
        <v>1</v>
      </c>
      <c r="N3" s="365"/>
      <c r="O3" s="365"/>
      <c r="P3" s="365"/>
    </row>
    <row r="4" spans="1:16" s="192" customFormat="1" ht="32.25" customHeight="1" x14ac:dyDescent="0.25">
      <c r="A4" s="366" t="s">
        <v>14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6" s="192" customFormat="1" ht="32.25" customHeight="1" thickBot="1" x14ac:dyDescent="0.3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6" s="192" customFormat="1" ht="16.5" customHeight="1" thickBot="1" x14ac:dyDescent="0.3">
      <c r="A6" s="375" t="s">
        <v>84</v>
      </c>
      <c r="B6" s="378" t="s">
        <v>85</v>
      </c>
      <c r="C6" s="381" t="s">
        <v>86</v>
      </c>
      <c r="D6" s="384" t="s">
        <v>87</v>
      </c>
      <c r="E6" s="2"/>
      <c r="F6" s="2"/>
      <c r="G6" s="2"/>
      <c r="H6" s="2"/>
      <c r="I6" s="3"/>
    </row>
    <row r="7" spans="1:16" s="193" customFormat="1" ht="29.25" customHeight="1" x14ac:dyDescent="0.25">
      <c r="A7" s="376"/>
      <c r="B7" s="379"/>
      <c r="C7" s="382"/>
      <c r="D7" s="385"/>
      <c r="E7" s="387" t="s">
        <v>88</v>
      </c>
      <c r="F7" s="389" t="s">
        <v>89</v>
      </c>
      <c r="G7" s="390"/>
      <c r="H7" s="387" t="s">
        <v>88</v>
      </c>
      <c r="I7" s="389" t="s">
        <v>89</v>
      </c>
      <c r="J7" s="390"/>
      <c r="K7" s="387" t="s">
        <v>88</v>
      </c>
      <c r="L7" s="389" t="s">
        <v>89</v>
      </c>
      <c r="M7" s="390"/>
      <c r="N7" s="387" t="s">
        <v>88</v>
      </c>
      <c r="O7" s="389" t="s">
        <v>89</v>
      </c>
      <c r="P7" s="390"/>
    </row>
    <row r="8" spans="1:16" s="193" customFormat="1" ht="39.75" customHeight="1" thickBot="1" x14ac:dyDescent="0.3">
      <c r="A8" s="377"/>
      <c r="B8" s="380"/>
      <c r="C8" s="383"/>
      <c r="D8" s="386"/>
      <c r="E8" s="388"/>
      <c r="F8" s="194" t="s">
        <v>90</v>
      </c>
      <c r="G8" s="195" t="s">
        <v>91</v>
      </c>
      <c r="H8" s="388"/>
      <c r="I8" s="194" t="s">
        <v>90</v>
      </c>
      <c r="J8" s="195" t="s">
        <v>91</v>
      </c>
      <c r="K8" s="388"/>
      <c r="L8" s="194" t="s">
        <v>90</v>
      </c>
      <c r="M8" s="195" t="s">
        <v>91</v>
      </c>
      <c r="N8" s="388"/>
      <c r="O8" s="194" t="s">
        <v>90</v>
      </c>
      <c r="P8" s="195" t="s">
        <v>91</v>
      </c>
    </row>
    <row r="9" spans="1:16" ht="27" x14ac:dyDescent="0.25">
      <c r="A9" s="400"/>
      <c r="B9" s="401"/>
      <c r="C9" s="402"/>
      <c r="D9" s="196" t="s">
        <v>92</v>
      </c>
      <c r="E9" s="197">
        <f>SUM(E10:E10)</f>
        <v>0</v>
      </c>
      <c r="F9" s="197">
        <f t="shared" ref="F9:P9" si="0">SUM(F10:F10)</f>
        <v>0</v>
      </c>
      <c r="G9" s="197">
        <f t="shared" si="0"/>
        <v>0</v>
      </c>
      <c r="H9" s="197">
        <f t="shared" si="0"/>
        <v>0</v>
      </c>
      <c r="I9" s="197">
        <f t="shared" si="0"/>
        <v>0</v>
      </c>
      <c r="J9" s="197">
        <f t="shared" si="0"/>
        <v>0</v>
      </c>
      <c r="K9" s="197">
        <f t="shared" si="0"/>
        <v>0</v>
      </c>
      <c r="L9" s="197">
        <f t="shared" si="0"/>
        <v>0</v>
      </c>
      <c r="M9" s="197">
        <f t="shared" si="0"/>
        <v>0</v>
      </c>
      <c r="N9" s="197">
        <f t="shared" si="0"/>
        <v>0</v>
      </c>
      <c r="O9" s="197">
        <f t="shared" si="0"/>
        <v>0</v>
      </c>
      <c r="P9" s="197">
        <f t="shared" si="0"/>
        <v>0</v>
      </c>
    </row>
    <row r="10" spans="1:16" ht="32.25" customHeight="1" thickBot="1" x14ac:dyDescent="0.3">
      <c r="A10" s="403"/>
      <c r="B10" s="404"/>
      <c r="C10" s="405"/>
      <c r="D10" s="199" t="s">
        <v>93</v>
      </c>
      <c r="E10" s="200">
        <f>SUM(E11+E17)</f>
        <v>0</v>
      </c>
      <c r="F10" s="200">
        <f t="shared" ref="F10:P10" si="1">SUM(F11+F17)</f>
        <v>0</v>
      </c>
      <c r="G10" s="200">
        <f t="shared" si="1"/>
        <v>0</v>
      </c>
      <c r="H10" s="200">
        <f t="shared" si="1"/>
        <v>0</v>
      </c>
      <c r="I10" s="200">
        <f t="shared" si="1"/>
        <v>0</v>
      </c>
      <c r="J10" s="200">
        <f t="shared" si="1"/>
        <v>0</v>
      </c>
      <c r="K10" s="200">
        <f t="shared" si="1"/>
        <v>0</v>
      </c>
      <c r="L10" s="200">
        <f t="shared" si="1"/>
        <v>0</v>
      </c>
      <c r="M10" s="200">
        <f t="shared" si="1"/>
        <v>0</v>
      </c>
      <c r="N10" s="200">
        <f t="shared" si="1"/>
        <v>0</v>
      </c>
      <c r="O10" s="200">
        <f t="shared" si="1"/>
        <v>0</v>
      </c>
      <c r="P10" s="200">
        <f t="shared" si="1"/>
        <v>0</v>
      </c>
    </row>
    <row r="11" spans="1:16" ht="54.75" customHeight="1" thickBot="1" x14ac:dyDescent="0.3">
      <c r="A11" s="201" t="s">
        <v>10</v>
      </c>
      <c r="B11" s="202" t="s">
        <v>11</v>
      </c>
      <c r="C11" s="203" t="s">
        <v>12</v>
      </c>
      <c r="D11" s="204" t="s">
        <v>101</v>
      </c>
      <c r="E11" s="222">
        <f t="shared" ref="E11:P11" si="2">SUM(E12)</f>
        <v>222620</v>
      </c>
      <c r="F11" s="223">
        <f t="shared" si="2"/>
        <v>178100</v>
      </c>
      <c r="G11" s="224">
        <f t="shared" si="2"/>
        <v>44520</v>
      </c>
      <c r="H11" s="222">
        <f t="shared" si="2"/>
        <v>222620</v>
      </c>
      <c r="I11" s="223">
        <f t="shared" si="2"/>
        <v>178100</v>
      </c>
      <c r="J11" s="224">
        <f t="shared" si="2"/>
        <v>44520</v>
      </c>
      <c r="K11" s="222">
        <f t="shared" si="2"/>
        <v>222620</v>
      </c>
      <c r="L11" s="223">
        <f t="shared" si="2"/>
        <v>178100</v>
      </c>
      <c r="M11" s="224">
        <f t="shared" si="2"/>
        <v>44520</v>
      </c>
      <c r="N11" s="222">
        <f t="shared" si="2"/>
        <v>222620</v>
      </c>
      <c r="O11" s="223">
        <f t="shared" si="2"/>
        <v>178100</v>
      </c>
      <c r="P11" s="224">
        <f t="shared" si="2"/>
        <v>44520</v>
      </c>
    </row>
    <row r="12" spans="1:16" ht="27" customHeight="1" x14ac:dyDescent="0.25">
      <c r="A12" s="406"/>
      <c r="B12" s="407"/>
      <c r="C12" s="408"/>
      <c r="D12" s="219" t="s">
        <v>100</v>
      </c>
      <c r="E12" s="229">
        <f>SUM(E13)</f>
        <v>222620</v>
      </c>
      <c r="F12" s="216">
        <f t="shared" ref="F12" si="3">SUM(F13)</f>
        <v>178100</v>
      </c>
      <c r="G12" s="230">
        <f t="shared" ref="G12" si="4">SUM(G13)</f>
        <v>44520</v>
      </c>
      <c r="H12" s="229">
        <f>SUM(H13)</f>
        <v>222620</v>
      </c>
      <c r="I12" s="216">
        <f t="shared" ref="I12" si="5">SUM(I13)</f>
        <v>178100</v>
      </c>
      <c r="J12" s="230">
        <f t="shared" ref="J12" si="6">SUM(J13)</f>
        <v>44520</v>
      </c>
      <c r="K12" s="229">
        <f>SUM(K13)</f>
        <v>222620</v>
      </c>
      <c r="L12" s="216">
        <f t="shared" ref="L12" si="7">SUM(L13)</f>
        <v>178100</v>
      </c>
      <c r="M12" s="230">
        <f t="shared" ref="M12" si="8">SUM(M13)</f>
        <v>44520</v>
      </c>
      <c r="N12" s="229">
        <f>SUM(N13)</f>
        <v>222620</v>
      </c>
      <c r="O12" s="229">
        <f t="shared" ref="O12:P12" si="9">SUM(O13)</f>
        <v>178100</v>
      </c>
      <c r="P12" s="229">
        <f t="shared" si="9"/>
        <v>44520</v>
      </c>
    </row>
    <row r="13" spans="1:16" ht="21" customHeight="1" x14ac:dyDescent="0.25">
      <c r="A13" s="209"/>
      <c r="B13" s="210"/>
      <c r="C13" s="211"/>
      <c r="D13" s="220" t="s">
        <v>94</v>
      </c>
      <c r="E13" s="228">
        <f>SUM(E15)</f>
        <v>222620</v>
      </c>
      <c r="F13" s="228">
        <f t="shared" ref="F13:G13" si="10">SUM(F15)</f>
        <v>178100</v>
      </c>
      <c r="G13" s="228">
        <f t="shared" si="10"/>
        <v>44520</v>
      </c>
      <c r="H13" s="228">
        <f>SUM(H15)</f>
        <v>222620</v>
      </c>
      <c r="I13" s="228">
        <f t="shared" ref="I13:J13" si="11">SUM(I15)</f>
        <v>178100</v>
      </c>
      <c r="J13" s="228">
        <f t="shared" si="11"/>
        <v>44520</v>
      </c>
      <c r="K13" s="228">
        <f>SUM(K15)</f>
        <v>222620</v>
      </c>
      <c r="L13" s="228">
        <f t="shared" ref="L13:M13" si="12">SUM(L15)</f>
        <v>178100</v>
      </c>
      <c r="M13" s="228">
        <f t="shared" si="12"/>
        <v>44520</v>
      </c>
      <c r="N13" s="228">
        <f>SUM(N15)</f>
        <v>222620</v>
      </c>
      <c r="O13" s="228">
        <f t="shared" ref="O13:P13" si="13">SUM(O15)</f>
        <v>178100</v>
      </c>
      <c r="P13" s="228">
        <f t="shared" si="13"/>
        <v>44520</v>
      </c>
    </row>
    <row r="14" spans="1:16" ht="24" customHeight="1" x14ac:dyDescent="0.25">
      <c r="A14" s="209"/>
      <c r="B14" s="210"/>
      <c r="C14" s="211"/>
      <c r="D14" s="220" t="s">
        <v>247</v>
      </c>
      <c r="E14" s="228"/>
      <c r="F14" s="213"/>
      <c r="G14" s="231"/>
      <c r="H14" s="228"/>
      <c r="I14" s="213"/>
      <c r="J14" s="231"/>
      <c r="K14" s="228"/>
      <c r="L14" s="213"/>
      <c r="M14" s="231"/>
      <c r="N14" s="228"/>
      <c r="O14" s="213"/>
      <c r="P14" s="231"/>
    </row>
    <row r="15" spans="1:16" ht="21" customHeight="1" x14ac:dyDescent="0.25">
      <c r="A15" s="209"/>
      <c r="B15" s="210"/>
      <c r="C15" s="211"/>
      <c r="D15" s="221" t="s">
        <v>95</v>
      </c>
      <c r="E15" s="228">
        <f>SUM(E16)</f>
        <v>222620</v>
      </c>
      <c r="F15" s="213">
        <f t="shared" ref="F15:G15" si="14">SUM(F16)</f>
        <v>178100</v>
      </c>
      <c r="G15" s="231">
        <f t="shared" si="14"/>
        <v>44520</v>
      </c>
      <c r="H15" s="228">
        <f>SUM(H16)</f>
        <v>222620</v>
      </c>
      <c r="I15" s="213">
        <f t="shared" ref="I15" si="15">SUM(I16)</f>
        <v>178100</v>
      </c>
      <c r="J15" s="231">
        <f t="shared" ref="J15" si="16">SUM(J16)</f>
        <v>44520</v>
      </c>
      <c r="K15" s="228">
        <f>SUM(K16)</f>
        <v>222620</v>
      </c>
      <c r="L15" s="213">
        <f t="shared" ref="L15" si="17">SUM(L16)</f>
        <v>178100</v>
      </c>
      <c r="M15" s="231">
        <f t="shared" ref="M15" si="18">SUM(M16)</f>
        <v>44520</v>
      </c>
      <c r="N15" s="228">
        <f>SUM(N16)</f>
        <v>222620</v>
      </c>
      <c r="O15" s="213">
        <f t="shared" ref="O15" si="19">SUM(O16)</f>
        <v>178100</v>
      </c>
      <c r="P15" s="231">
        <f t="shared" ref="P15" si="20">SUM(P16)</f>
        <v>44520</v>
      </c>
    </row>
    <row r="16" spans="1:16" ht="21" customHeight="1" thickBot="1" x14ac:dyDescent="0.3">
      <c r="A16" s="209"/>
      <c r="B16" s="210"/>
      <c r="C16" s="211"/>
      <c r="D16" s="220" t="s">
        <v>96</v>
      </c>
      <c r="E16" s="232">
        <f>SUM(F16:G16)</f>
        <v>222620</v>
      </c>
      <c r="F16" s="233">
        <v>178100</v>
      </c>
      <c r="G16" s="234">
        <v>44520</v>
      </c>
      <c r="H16" s="232">
        <f>SUM(I16:J16)</f>
        <v>222620</v>
      </c>
      <c r="I16" s="233">
        <v>178100</v>
      </c>
      <c r="J16" s="234">
        <v>44520</v>
      </c>
      <c r="K16" s="232">
        <f>SUM(L16:M16)</f>
        <v>222620</v>
      </c>
      <c r="L16" s="233">
        <v>178100</v>
      </c>
      <c r="M16" s="234">
        <v>44520</v>
      </c>
      <c r="N16" s="232">
        <f>SUM(O16:P16)</f>
        <v>222620</v>
      </c>
      <c r="O16" s="233">
        <v>178100</v>
      </c>
      <c r="P16" s="234">
        <v>44520</v>
      </c>
    </row>
    <row r="17" spans="1:16" ht="66.75" customHeight="1" thickBot="1" x14ac:dyDescent="0.3">
      <c r="A17" s="201" t="s">
        <v>10</v>
      </c>
      <c r="B17" s="202" t="s">
        <v>11</v>
      </c>
      <c r="C17" s="203" t="s">
        <v>12</v>
      </c>
      <c r="D17" s="218" t="s">
        <v>102</v>
      </c>
      <c r="E17" s="225">
        <f>SUM(E18)</f>
        <v>-222620</v>
      </c>
      <c r="F17" s="226">
        <f t="shared" ref="F17:G17" si="21">SUM(F18)</f>
        <v>-178100</v>
      </c>
      <c r="G17" s="227">
        <f t="shared" si="21"/>
        <v>-44520</v>
      </c>
      <c r="H17" s="225">
        <f>SUM(H18)</f>
        <v>-222620</v>
      </c>
      <c r="I17" s="226">
        <f t="shared" ref="I17" si="22">SUM(I18)</f>
        <v>-178100</v>
      </c>
      <c r="J17" s="227">
        <f t="shared" ref="J17" si="23">SUM(J18)</f>
        <v>-44520</v>
      </c>
      <c r="K17" s="225">
        <f>SUM(K18)</f>
        <v>-222620</v>
      </c>
      <c r="L17" s="226">
        <f t="shared" ref="L17" si="24">SUM(L18)</f>
        <v>-178100</v>
      </c>
      <c r="M17" s="227">
        <f t="shared" ref="M17" si="25">SUM(M18)</f>
        <v>-44520</v>
      </c>
      <c r="N17" s="225">
        <f>SUM(N18)</f>
        <v>-222620</v>
      </c>
      <c r="O17" s="226">
        <f t="shared" ref="O17" si="26">SUM(O18)</f>
        <v>-178100</v>
      </c>
      <c r="P17" s="227">
        <f t="shared" ref="P17" si="27">SUM(P18)</f>
        <v>-44520</v>
      </c>
    </row>
    <row r="18" spans="1:16" ht="41.25" customHeight="1" x14ac:dyDescent="0.25">
      <c r="A18" s="391"/>
      <c r="B18" s="392"/>
      <c r="C18" s="393"/>
      <c r="D18" s="205" t="s">
        <v>100</v>
      </c>
      <c r="E18" s="206">
        <f t="shared" ref="E18:E21" si="28">SUM(F18:G18)</f>
        <v>-222620</v>
      </c>
      <c r="F18" s="207">
        <v>-178100</v>
      </c>
      <c r="G18" s="208">
        <v>-44520</v>
      </c>
      <c r="H18" s="206">
        <f t="shared" ref="H18:H21" si="29">SUM(I18:J18)</f>
        <v>-222620</v>
      </c>
      <c r="I18" s="207">
        <v>-178100</v>
      </c>
      <c r="J18" s="208">
        <v>-44520</v>
      </c>
      <c r="K18" s="206">
        <f t="shared" ref="K18:K21" si="30">SUM(L18:M18)</f>
        <v>-222620</v>
      </c>
      <c r="L18" s="207">
        <v>-178100</v>
      </c>
      <c r="M18" s="208">
        <v>-44520</v>
      </c>
      <c r="N18" s="206">
        <f t="shared" ref="N18:N21" si="31">SUM(O18:P18)</f>
        <v>-222620</v>
      </c>
      <c r="O18" s="207">
        <v>-178100</v>
      </c>
      <c r="P18" s="208">
        <v>-44520</v>
      </c>
    </row>
    <row r="19" spans="1:16" ht="21" customHeight="1" x14ac:dyDescent="0.25">
      <c r="A19" s="394"/>
      <c r="B19" s="395"/>
      <c r="C19" s="396"/>
      <c r="D19" s="212" t="s">
        <v>94</v>
      </c>
      <c r="E19" s="215">
        <f t="shared" si="28"/>
        <v>-222620</v>
      </c>
      <c r="F19" s="213">
        <v>-178100</v>
      </c>
      <c r="G19" s="214">
        <v>-44520</v>
      </c>
      <c r="H19" s="215">
        <f t="shared" si="29"/>
        <v>-222620</v>
      </c>
      <c r="I19" s="213">
        <v>-178100</v>
      </c>
      <c r="J19" s="214">
        <v>-44520</v>
      </c>
      <c r="K19" s="215">
        <f t="shared" si="30"/>
        <v>-222620</v>
      </c>
      <c r="L19" s="213">
        <v>-178100</v>
      </c>
      <c r="M19" s="214">
        <v>-44520</v>
      </c>
      <c r="N19" s="215">
        <f t="shared" si="31"/>
        <v>-222620</v>
      </c>
      <c r="O19" s="213">
        <v>-178100</v>
      </c>
      <c r="P19" s="214">
        <v>-44520</v>
      </c>
    </row>
    <row r="20" spans="1:16" ht="21" customHeight="1" x14ac:dyDescent="0.25">
      <c r="A20" s="394"/>
      <c r="B20" s="395"/>
      <c r="C20" s="396"/>
      <c r="D20" s="220" t="s">
        <v>247</v>
      </c>
      <c r="E20" s="215"/>
      <c r="F20" s="213"/>
      <c r="G20" s="214"/>
      <c r="H20" s="215"/>
      <c r="I20" s="213"/>
      <c r="J20" s="214"/>
      <c r="K20" s="215"/>
      <c r="L20" s="213"/>
      <c r="M20" s="214"/>
      <c r="N20" s="215"/>
      <c r="O20" s="213"/>
      <c r="P20" s="214"/>
    </row>
    <row r="21" spans="1:16" ht="18" customHeight="1" x14ac:dyDescent="0.25">
      <c r="A21" s="394"/>
      <c r="B21" s="395"/>
      <c r="C21" s="396"/>
      <c r="D21" s="212" t="s">
        <v>97</v>
      </c>
      <c r="E21" s="215">
        <f t="shared" si="28"/>
        <v>-222620</v>
      </c>
      <c r="F21" s="213">
        <v>-178100</v>
      </c>
      <c r="G21" s="214">
        <v>-44520</v>
      </c>
      <c r="H21" s="215">
        <f t="shared" si="29"/>
        <v>-222620</v>
      </c>
      <c r="I21" s="213">
        <v>-178100</v>
      </c>
      <c r="J21" s="214">
        <v>-44520</v>
      </c>
      <c r="K21" s="215">
        <f t="shared" si="30"/>
        <v>-222620</v>
      </c>
      <c r="L21" s="213">
        <v>-178100</v>
      </c>
      <c r="M21" s="214">
        <v>-44520</v>
      </c>
      <c r="N21" s="215">
        <f t="shared" si="31"/>
        <v>-222620</v>
      </c>
      <c r="O21" s="213">
        <v>-178100</v>
      </c>
      <c r="P21" s="214">
        <v>-44520</v>
      </c>
    </row>
    <row r="22" spans="1:16" ht="20.25" customHeight="1" thickBot="1" x14ac:dyDescent="0.3">
      <c r="A22" s="397"/>
      <c r="B22" s="398"/>
      <c r="C22" s="399"/>
      <c r="D22" s="217" t="s">
        <v>98</v>
      </c>
      <c r="E22" s="215">
        <f>SUM(F22:G22)</f>
        <v>-222620</v>
      </c>
      <c r="F22" s="213">
        <v>-178100</v>
      </c>
      <c r="G22" s="214">
        <v>-44520</v>
      </c>
      <c r="H22" s="215">
        <f>SUM(I22:J22)</f>
        <v>-222620</v>
      </c>
      <c r="I22" s="213">
        <v>-178100</v>
      </c>
      <c r="J22" s="214">
        <v>-44520</v>
      </c>
      <c r="K22" s="215">
        <f>SUM(L22:M22)</f>
        <v>-222620</v>
      </c>
      <c r="L22" s="213">
        <v>-178100</v>
      </c>
      <c r="M22" s="214">
        <v>-44520</v>
      </c>
      <c r="N22" s="215">
        <f>SUM(O22:P22)</f>
        <v>-222620</v>
      </c>
      <c r="O22" s="213">
        <v>-178100</v>
      </c>
      <c r="P22" s="214">
        <v>-44520</v>
      </c>
    </row>
  </sheetData>
  <mergeCells count="18">
    <mergeCell ref="A18:C22"/>
    <mergeCell ref="L7:M7"/>
    <mergeCell ref="N7:N8"/>
    <mergeCell ref="O7:P7"/>
    <mergeCell ref="A9:C10"/>
    <mergeCell ref="A12:C12"/>
    <mergeCell ref="A4:N4"/>
    <mergeCell ref="M2:P2"/>
    <mergeCell ref="M3:P3"/>
    <mergeCell ref="A6:A8"/>
    <mergeCell ref="B6:B8"/>
    <mergeCell ref="C6:C8"/>
    <mergeCell ref="D6:D8"/>
    <mergeCell ref="E7:E8"/>
    <mergeCell ref="F7:G7"/>
    <mergeCell ref="H7:H8"/>
    <mergeCell ref="I7:J7"/>
    <mergeCell ref="K7:K8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view="pageBreakPreview" zoomScale="106" zoomScaleNormal="100" zoomScaleSheetLayoutView="106" workbookViewId="0">
      <selection activeCell="A7" sqref="A7:C9"/>
    </sheetView>
  </sheetViews>
  <sheetFormatPr defaultRowHeight="13.5" x14ac:dyDescent="0.25"/>
  <cols>
    <col min="1" max="1" width="9.140625" style="129"/>
    <col min="2" max="2" width="13.7109375" style="129" customWidth="1"/>
    <col min="3" max="3" width="59.28515625" style="129" customWidth="1"/>
    <col min="4" max="5" width="10.28515625" style="129" customWidth="1"/>
    <col min="6" max="6" width="9" style="129" customWidth="1"/>
    <col min="7" max="7" width="8.85546875" style="129" customWidth="1"/>
    <col min="8" max="8" width="10.85546875" style="129" customWidth="1"/>
    <col min="9" max="9" width="10.42578125" style="129" customWidth="1"/>
    <col min="10" max="10" width="10.85546875" style="129" customWidth="1"/>
    <col min="11" max="11" width="11" style="129" customWidth="1"/>
    <col min="12" max="263" width="9.140625" style="129"/>
    <col min="264" max="264" width="13.7109375" style="129" customWidth="1"/>
    <col min="265" max="265" width="59.28515625" style="129" customWidth="1"/>
    <col min="266" max="266" width="16" style="129" customWidth="1"/>
    <col min="267" max="267" width="17.7109375" style="129" customWidth="1"/>
    <col min="268" max="519" width="9.140625" style="129"/>
    <col min="520" max="520" width="13.7109375" style="129" customWidth="1"/>
    <col min="521" max="521" width="59.28515625" style="129" customWidth="1"/>
    <col min="522" max="522" width="16" style="129" customWidth="1"/>
    <col min="523" max="523" width="17.7109375" style="129" customWidth="1"/>
    <col min="524" max="775" width="9.140625" style="129"/>
    <col min="776" max="776" width="13.7109375" style="129" customWidth="1"/>
    <col min="777" max="777" width="59.28515625" style="129" customWidth="1"/>
    <col min="778" max="778" width="16" style="129" customWidth="1"/>
    <col min="779" max="779" width="17.7109375" style="129" customWidth="1"/>
    <col min="780" max="1031" width="9.140625" style="129"/>
    <col min="1032" max="1032" width="13.7109375" style="129" customWidth="1"/>
    <col min="1033" max="1033" width="59.28515625" style="129" customWidth="1"/>
    <col min="1034" max="1034" width="16" style="129" customWidth="1"/>
    <col min="1035" max="1035" width="17.7109375" style="129" customWidth="1"/>
    <col min="1036" max="1287" width="9.140625" style="129"/>
    <col min="1288" max="1288" width="13.7109375" style="129" customWidth="1"/>
    <col min="1289" max="1289" width="59.28515625" style="129" customWidth="1"/>
    <col min="1290" max="1290" width="16" style="129" customWidth="1"/>
    <col min="1291" max="1291" width="17.7109375" style="129" customWidth="1"/>
    <col min="1292" max="1543" width="9.140625" style="129"/>
    <col min="1544" max="1544" width="13.7109375" style="129" customWidth="1"/>
    <col min="1545" max="1545" width="59.28515625" style="129" customWidth="1"/>
    <col min="1546" max="1546" width="16" style="129" customWidth="1"/>
    <col min="1547" max="1547" width="17.7109375" style="129" customWidth="1"/>
    <col min="1548" max="1799" width="9.140625" style="129"/>
    <col min="1800" max="1800" width="13.7109375" style="129" customWidth="1"/>
    <col min="1801" max="1801" width="59.28515625" style="129" customWidth="1"/>
    <col min="1802" max="1802" width="16" style="129" customWidth="1"/>
    <col min="1803" max="1803" width="17.7109375" style="129" customWidth="1"/>
    <col min="1804" max="2055" width="9.140625" style="129"/>
    <col min="2056" max="2056" width="13.7109375" style="129" customWidth="1"/>
    <col min="2057" max="2057" width="59.28515625" style="129" customWidth="1"/>
    <col min="2058" max="2058" width="16" style="129" customWidth="1"/>
    <col min="2059" max="2059" width="17.7109375" style="129" customWidth="1"/>
    <col min="2060" max="2311" width="9.140625" style="129"/>
    <col min="2312" max="2312" width="13.7109375" style="129" customWidth="1"/>
    <col min="2313" max="2313" width="59.28515625" style="129" customWidth="1"/>
    <col min="2314" max="2314" width="16" style="129" customWidth="1"/>
    <col min="2315" max="2315" width="17.7109375" style="129" customWidth="1"/>
    <col min="2316" max="2567" width="9.140625" style="129"/>
    <col min="2568" max="2568" width="13.7109375" style="129" customWidth="1"/>
    <col min="2569" max="2569" width="59.28515625" style="129" customWidth="1"/>
    <col min="2570" max="2570" width="16" style="129" customWidth="1"/>
    <col min="2571" max="2571" width="17.7109375" style="129" customWidth="1"/>
    <col min="2572" max="2823" width="9.140625" style="129"/>
    <col min="2824" max="2824" width="13.7109375" style="129" customWidth="1"/>
    <col min="2825" max="2825" width="59.28515625" style="129" customWidth="1"/>
    <col min="2826" max="2826" width="16" style="129" customWidth="1"/>
    <col min="2827" max="2827" width="17.7109375" style="129" customWidth="1"/>
    <col min="2828" max="3079" width="9.140625" style="129"/>
    <col min="3080" max="3080" width="13.7109375" style="129" customWidth="1"/>
    <col min="3081" max="3081" width="59.28515625" style="129" customWidth="1"/>
    <col min="3082" max="3082" width="16" style="129" customWidth="1"/>
    <col min="3083" max="3083" width="17.7109375" style="129" customWidth="1"/>
    <col min="3084" max="3335" width="9.140625" style="129"/>
    <col min="3336" max="3336" width="13.7109375" style="129" customWidth="1"/>
    <col min="3337" max="3337" width="59.28515625" style="129" customWidth="1"/>
    <col min="3338" max="3338" width="16" style="129" customWidth="1"/>
    <col min="3339" max="3339" width="17.7109375" style="129" customWidth="1"/>
    <col min="3340" max="3591" width="9.140625" style="129"/>
    <col min="3592" max="3592" width="13.7109375" style="129" customWidth="1"/>
    <col min="3593" max="3593" width="59.28515625" style="129" customWidth="1"/>
    <col min="3594" max="3594" width="16" style="129" customWidth="1"/>
    <col min="3595" max="3595" width="17.7109375" style="129" customWidth="1"/>
    <col min="3596" max="3847" width="9.140625" style="129"/>
    <col min="3848" max="3848" width="13.7109375" style="129" customWidth="1"/>
    <col min="3849" max="3849" width="59.28515625" style="129" customWidth="1"/>
    <col min="3850" max="3850" width="16" style="129" customWidth="1"/>
    <col min="3851" max="3851" width="17.7109375" style="129" customWidth="1"/>
    <col min="3852" max="4103" width="9.140625" style="129"/>
    <col min="4104" max="4104" width="13.7109375" style="129" customWidth="1"/>
    <col min="4105" max="4105" width="59.28515625" style="129" customWidth="1"/>
    <col min="4106" max="4106" width="16" style="129" customWidth="1"/>
    <col min="4107" max="4107" width="17.7109375" style="129" customWidth="1"/>
    <col min="4108" max="4359" width="9.140625" style="129"/>
    <col min="4360" max="4360" width="13.7109375" style="129" customWidth="1"/>
    <col min="4361" max="4361" width="59.28515625" style="129" customWidth="1"/>
    <col min="4362" max="4362" width="16" style="129" customWidth="1"/>
    <col min="4363" max="4363" width="17.7109375" style="129" customWidth="1"/>
    <col min="4364" max="4615" width="9.140625" style="129"/>
    <col min="4616" max="4616" width="13.7109375" style="129" customWidth="1"/>
    <col min="4617" max="4617" width="59.28515625" style="129" customWidth="1"/>
    <col min="4618" max="4618" width="16" style="129" customWidth="1"/>
    <col min="4619" max="4619" width="17.7109375" style="129" customWidth="1"/>
    <col min="4620" max="4871" width="9.140625" style="129"/>
    <col min="4872" max="4872" width="13.7109375" style="129" customWidth="1"/>
    <col min="4873" max="4873" width="59.28515625" style="129" customWidth="1"/>
    <col min="4874" max="4874" width="16" style="129" customWidth="1"/>
    <col min="4875" max="4875" width="17.7109375" style="129" customWidth="1"/>
    <col min="4876" max="5127" width="9.140625" style="129"/>
    <col min="5128" max="5128" width="13.7109375" style="129" customWidth="1"/>
    <col min="5129" max="5129" width="59.28515625" style="129" customWidth="1"/>
    <col min="5130" max="5130" width="16" style="129" customWidth="1"/>
    <col min="5131" max="5131" width="17.7109375" style="129" customWidth="1"/>
    <col min="5132" max="5383" width="9.140625" style="129"/>
    <col min="5384" max="5384" width="13.7109375" style="129" customWidth="1"/>
    <col min="5385" max="5385" width="59.28515625" style="129" customWidth="1"/>
    <col min="5386" max="5386" width="16" style="129" customWidth="1"/>
    <col min="5387" max="5387" width="17.7109375" style="129" customWidth="1"/>
    <col min="5388" max="5639" width="9.140625" style="129"/>
    <col min="5640" max="5640" width="13.7109375" style="129" customWidth="1"/>
    <col min="5641" max="5641" width="59.28515625" style="129" customWidth="1"/>
    <col min="5642" max="5642" width="16" style="129" customWidth="1"/>
    <col min="5643" max="5643" width="17.7109375" style="129" customWidth="1"/>
    <col min="5644" max="5895" width="9.140625" style="129"/>
    <col min="5896" max="5896" width="13.7109375" style="129" customWidth="1"/>
    <col min="5897" max="5897" width="59.28515625" style="129" customWidth="1"/>
    <col min="5898" max="5898" width="16" style="129" customWidth="1"/>
    <col min="5899" max="5899" width="17.7109375" style="129" customWidth="1"/>
    <col min="5900" max="6151" width="9.140625" style="129"/>
    <col min="6152" max="6152" width="13.7109375" style="129" customWidth="1"/>
    <col min="6153" max="6153" width="59.28515625" style="129" customWidth="1"/>
    <col min="6154" max="6154" width="16" style="129" customWidth="1"/>
    <col min="6155" max="6155" width="17.7109375" style="129" customWidth="1"/>
    <col min="6156" max="6407" width="9.140625" style="129"/>
    <col min="6408" max="6408" width="13.7109375" style="129" customWidth="1"/>
    <col min="6409" max="6409" width="59.28515625" style="129" customWidth="1"/>
    <col min="6410" max="6410" width="16" style="129" customWidth="1"/>
    <col min="6411" max="6411" width="17.7109375" style="129" customWidth="1"/>
    <col min="6412" max="6663" width="9.140625" style="129"/>
    <col min="6664" max="6664" width="13.7109375" style="129" customWidth="1"/>
    <col min="6665" max="6665" width="59.28515625" style="129" customWidth="1"/>
    <col min="6666" max="6666" width="16" style="129" customWidth="1"/>
    <col min="6667" max="6667" width="17.7109375" style="129" customWidth="1"/>
    <col min="6668" max="6919" width="9.140625" style="129"/>
    <col min="6920" max="6920" width="13.7109375" style="129" customWidth="1"/>
    <col min="6921" max="6921" width="59.28515625" style="129" customWidth="1"/>
    <col min="6922" max="6922" width="16" style="129" customWidth="1"/>
    <col min="6923" max="6923" width="17.7109375" style="129" customWidth="1"/>
    <col min="6924" max="7175" width="9.140625" style="129"/>
    <col min="7176" max="7176" width="13.7109375" style="129" customWidth="1"/>
    <col min="7177" max="7177" width="59.28515625" style="129" customWidth="1"/>
    <col min="7178" max="7178" width="16" style="129" customWidth="1"/>
    <col min="7179" max="7179" width="17.7109375" style="129" customWidth="1"/>
    <col min="7180" max="7431" width="9.140625" style="129"/>
    <col min="7432" max="7432" width="13.7109375" style="129" customWidth="1"/>
    <col min="7433" max="7433" width="59.28515625" style="129" customWidth="1"/>
    <col min="7434" max="7434" width="16" style="129" customWidth="1"/>
    <col min="7435" max="7435" width="17.7109375" style="129" customWidth="1"/>
    <col min="7436" max="7687" width="9.140625" style="129"/>
    <col min="7688" max="7688" width="13.7109375" style="129" customWidth="1"/>
    <col min="7689" max="7689" width="59.28515625" style="129" customWidth="1"/>
    <col min="7690" max="7690" width="16" style="129" customWidth="1"/>
    <col min="7691" max="7691" width="17.7109375" style="129" customWidth="1"/>
    <col min="7692" max="7943" width="9.140625" style="129"/>
    <col min="7944" max="7944" width="13.7109375" style="129" customWidth="1"/>
    <col min="7945" max="7945" width="59.28515625" style="129" customWidth="1"/>
    <col min="7946" max="7946" width="16" style="129" customWidth="1"/>
    <col min="7947" max="7947" width="17.7109375" style="129" customWidth="1"/>
    <col min="7948" max="8199" width="9.140625" style="129"/>
    <col min="8200" max="8200" width="13.7109375" style="129" customWidth="1"/>
    <col min="8201" max="8201" width="59.28515625" style="129" customWidth="1"/>
    <col min="8202" max="8202" width="16" style="129" customWidth="1"/>
    <col min="8203" max="8203" width="17.7109375" style="129" customWidth="1"/>
    <col min="8204" max="8455" width="9.140625" style="129"/>
    <col min="8456" max="8456" width="13.7109375" style="129" customWidth="1"/>
    <col min="8457" max="8457" width="59.28515625" style="129" customWidth="1"/>
    <col min="8458" max="8458" width="16" style="129" customWidth="1"/>
    <col min="8459" max="8459" width="17.7109375" style="129" customWidth="1"/>
    <col min="8460" max="8711" width="9.140625" style="129"/>
    <col min="8712" max="8712" width="13.7109375" style="129" customWidth="1"/>
    <col min="8713" max="8713" width="59.28515625" style="129" customWidth="1"/>
    <col min="8714" max="8714" width="16" style="129" customWidth="1"/>
    <col min="8715" max="8715" width="17.7109375" style="129" customWidth="1"/>
    <col min="8716" max="8967" width="9.140625" style="129"/>
    <col min="8968" max="8968" width="13.7109375" style="129" customWidth="1"/>
    <col min="8969" max="8969" width="59.28515625" style="129" customWidth="1"/>
    <col min="8970" max="8970" width="16" style="129" customWidth="1"/>
    <col min="8971" max="8971" width="17.7109375" style="129" customWidth="1"/>
    <col min="8972" max="9223" width="9.140625" style="129"/>
    <col min="9224" max="9224" width="13.7109375" style="129" customWidth="1"/>
    <col min="9225" max="9225" width="59.28515625" style="129" customWidth="1"/>
    <col min="9226" max="9226" width="16" style="129" customWidth="1"/>
    <col min="9227" max="9227" width="17.7109375" style="129" customWidth="1"/>
    <col min="9228" max="9479" width="9.140625" style="129"/>
    <col min="9480" max="9480" width="13.7109375" style="129" customWidth="1"/>
    <col min="9481" max="9481" width="59.28515625" style="129" customWidth="1"/>
    <col min="9482" max="9482" width="16" style="129" customWidth="1"/>
    <col min="9483" max="9483" width="17.7109375" style="129" customWidth="1"/>
    <col min="9484" max="9735" width="9.140625" style="129"/>
    <col min="9736" max="9736" width="13.7109375" style="129" customWidth="1"/>
    <col min="9737" max="9737" width="59.28515625" style="129" customWidth="1"/>
    <col min="9738" max="9738" width="16" style="129" customWidth="1"/>
    <col min="9739" max="9739" width="17.7109375" style="129" customWidth="1"/>
    <col min="9740" max="9991" width="9.140625" style="129"/>
    <col min="9992" max="9992" width="13.7109375" style="129" customWidth="1"/>
    <col min="9993" max="9993" width="59.28515625" style="129" customWidth="1"/>
    <col min="9994" max="9994" width="16" style="129" customWidth="1"/>
    <col min="9995" max="9995" width="17.7109375" style="129" customWidth="1"/>
    <col min="9996" max="10247" width="9.140625" style="129"/>
    <col min="10248" max="10248" width="13.7109375" style="129" customWidth="1"/>
    <col min="10249" max="10249" width="59.28515625" style="129" customWidth="1"/>
    <col min="10250" max="10250" width="16" style="129" customWidth="1"/>
    <col min="10251" max="10251" width="17.7109375" style="129" customWidth="1"/>
    <col min="10252" max="10503" width="9.140625" style="129"/>
    <col min="10504" max="10504" width="13.7109375" style="129" customWidth="1"/>
    <col min="10505" max="10505" width="59.28515625" style="129" customWidth="1"/>
    <col min="10506" max="10506" width="16" style="129" customWidth="1"/>
    <col min="10507" max="10507" width="17.7109375" style="129" customWidth="1"/>
    <col min="10508" max="10759" width="9.140625" style="129"/>
    <col min="10760" max="10760" width="13.7109375" style="129" customWidth="1"/>
    <col min="10761" max="10761" width="59.28515625" style="129" customWidth="1"/>
    <col min="10762" max="10762" width="16" style="129" customWidth="1"/>
    <col min="10763" max="10763" width="17.7109375" style="129" customWidth="1"/>
    <col min="10764" max="11015" width="9.140625" style="129"/>
    <col min="11016" max="11016" width="13.7109375" style="129" customWidth="1"/>
    <col min="11017" max="11017" width="59.28515625" style="129" customWidth="1"/>
    <col min="11018" max="11018" width="16" style="129" customWidth="1"/>
    <col min="11019" max="11019" width="17.7109375" style="129" customWidth="1"/>
    <col min="11020" max="11271" width="9.140625" style="129"/>
    <col min="11272" max="11272" width="13.7109375" style="129" customWidth="1"/>
    <col min="11273" max="11273" width="59.28515625" style="129" customWidth="1"/>
    <col min="11274" max="11274" width="16" style="129" customWidth="1"/>
    <col min="11275" max="11275" width="17.7109375" style="129" customWidth="1"/>
    <col min="11276" max="11527" width="9.140625" style="129"/>
    <col min="11528" max="11528" width="13.7109375" style="129" customWidth="1"/>
    <col min="11529" max="11529" width="59.28515625" style="129" customWidth="1"/>
    <col min="11530" max="11530" width="16" style="129" customWidth="1"/>
    <col min="11531" max="11531" width="17.7109375" style="129" customWidth="1"/>
    <col min="11532" max="11783" width="9.140625" style="129"/>
    <col min="11784" max="11784" width="13.7109375" style="129" customWidth="1"/>
    <col min="11785" max="11785" width="59.28515625" style="129" customWidth="1"/>
    <col min="11786" max="11786" width="16" style="129" customWidth="1"/>
    <col min="11787" max="11787" width="17.7109375" style="129" customWidth="1"/>
    <col min="11788" max="12039" width="9.140625" style="129"/>
    <col min="12040" max="12040" width="13.7109375" style="129" customWidth="1"/>
    <col min="12041" max="12041" width="59.28515625" style="129" customWidth="1"/>
    <col min="12042" max="12042" width="16" style="129" customWidth="1"/>
    <col min="12043" max="12043" width="17.7109375" style="129" customWidth="1"/>
    <col min="12044" max="12295" width="9.140625" style="129"/>
    <col min="12296" max="12296" width="13.7109375" style="129" customWidth="1"/>
    <col min="12297" max="12297" width="59.28515625" style="129" customWidth="1"/>
    <col min="12298" max="12298" width="16" style="129" customWidth="1"/>
    <col min="12299" max="12299" width="17.7109375" style="129" customWidth="1"/>
    <col min="12300" max="12551" width="9.140625" style="129"/>
    <col min="12552" max="12552" width="13.7109375" style="129" customWidth="1"/>
    <col min="12553" max="12553" width="59.28515625" style="129" customWidth="1"/>
    <col min="12554" max="12554" width="16" style="129" customWidth="1"/>
    <col min="12555" max="12555" width="17.7109375" style="129" customWidth="1"/>
    <col min="12556" max="12807" width="9.140625" style="129"/>
    <col min="12808" max="12808" width="13.7109375" style="129" customWidth="1"/>
    <col min="12809" max="12809" width="59.28515625" style="129" customWidth="1"/>
    <col min="12810" max="12810" width="16" style="129" customWidth="1"/>
    <col min="12811" max="12811" width="17.7109375" style="129" customWidth="1"/>
    <col min="12812" max="13063" width="9.140625" style="129"/>
    <col min="13064" max="13064" width="13.7109375" style="129" customWidth="1"/>
    <col min="13065" max="13065" width="59.28515625" style="129" customWidth="1"/>
    <col min="13066" max="13066" width="16" style="129" customWidth="1"/>
    <col min="13067" max="13067" width="17.7109375" style="129" customWidth="1"/>
    <col min="13068" max="13319" width="9.140625" style="129"/>
    <col min="13320" max="13320" width="13.7109375" style="129" customWidth="1"/>
    <col min="13321" max="13321" width="59.28515625" style="129" customWidth="1"/>
    <col min="13322" max="13322" width="16" style="129" customWidth="1"/>
    <col min="13323" max="13323" width="17.7109375" style="129" customWidth="1"/>
    <col min="13324" max="13575" width="9.140625" style="129"/>
    <col min="13576" max="13576" width="13.7109375" style="129" customWidth="1"/>
    <col min="13577" max="13577" width="59.28515625" style="129" customWidth="1"/>
    <col min="13578" max="13578" width="16" style="129" customWidth="1"/>
    <col min="13579" max="13579" width="17.7109375" style="129" customWidth="1"/>
    <col min="13580" max="13831" width="9.140625" style="129"/>
    <col min="13832" max="13832" width="13.7109375" style="129" customWidth="1"/>
    <col min="13833" max="13833" width="59.28515625" style="129" customWidth="1"/>
    <col min="13834" max="13834" width="16" style="129" customWidth="1"/>
    <col min="13835" max="13835" width="17.7109375" style="129" customWidth="1"/>
    <col min="13836" max="14087" width="9.140625" style="129"/>
    <col min="14088" max="14088" width="13.7109375" style="129" customWidth="1"/>
    <col min="14089" max="14089" width="59.28515625" style="129" customWidth="1"/>
    <col min="14090" max="14090" width="16" style="129" customWidth="1"/>
    <col min="14091" max="14091" width="17.7109375" style="129" customWidth="1"/>
    <col min="14092" max="14343" width="9.140625" style="129"/>
    <col min="14344" max="14344" width="13.7109375" style="129" customWidth="1"/>
    <col min="14345" max="14345" width="59.28515625" style="129" customWidth="1"/>
    <col min="14346" max="14346" width="16" style="129" customWidth="1"/>
    <col min="14347" max="14347" width="17.7109375" style="129" customWidth="1"/>
    <col min="14348" max="14599" width="9.140625" style="129"/>
    <col min="14600" max="14600" width="13.7109375" style="129" customWidth="1"/>
    <col min="14601" max="14601" width="59.28515625" style="129" customWidth="1"/>
    <col min="14602" max="14602" width="16" style="129" customWidth="1"/>
    <col min="14603" max="14603" width="17.7109375" style="129" customWidth="1"/>
    <col min="14604" max="14855" width="9.140625" style="129"/>
    <col min="14856" max="14856" width="13.7109375" style="129" customWidth="1"/>
    <col min="14857" max="14857" width="59.28515625" style="129" customWidth="1"/>
    <col min="14858" max="14858" width="16" style="129" customWidth="1"/>
    <col min="14859" max="14859" width="17.7109375" style="129" customWidth="1"/>
    <col min="14860" max="15111" width="9.140625" style="129"/>
    <col min="15112" max="15112" width="13.7109375" style="129" customWidth="1"/>
    <col min="15113" max="15113" width="59.28515625" style="129" customWidth="1"/>
    <col min="15114" max="15114" width="16" style="129" customWidth="1"/>
    <col min="15115" max="15115" width="17.7109375" style="129" customWidth="1"/>
    <col min="15116" max="15367" width="9.140625" style="129"/>
    <col min="15368" max="15368" width="13.7109375" style="129" customWidth="1"/>
    <col min="15369" max="15369" width="59.28515625" style="129" customWidth="1"/>
    <col min="15370" max="15370" width="16" style="129" customWidth="1"/>
    <col min="15371" max="15371" width="17.7109375" style="129" customWidth="1"/>
    <col min="15372" max="15623" width="9.140625" style="129"/>
    <col min="15624" max="15624" width="13.7109375" style="129" customWidth="1"/>
    <col min="15625" max="15625" width="59.28515625" style="129" customWidth="1"/>
    <col min="15626" max="15626" width="16" style="129" customWidth="1"/>
    <col min="15627" max="15627" width="17.7109375" style="129" customWidth="1"/>
    <col min="15628" max="15879" width="9.140625" style="129"/>
    <col min="15880" max="15880" width="13.7109375" style="129" customWidth="1"/>
    <col min="15881" max="15881" width="59.28515625" style="129" customWidth="1"/>
    <col min="15882" max="15882" width="16" style="129" customWidth="1"/>
    <col min="15883" max="15883" width="17.7109375" style="129" customWidth="1"/>
    <col min="15884" max="16135" width="9.140625" style="129"/>
    <col min="16136" max="16136" width="13.7109375" style="129" customWidth="1"/>
    <col min="16137" max="16137" width="59.28515625" style="129" customWidth="1"/>
    <col min="16138" max="16138" width="16" style="129" customWidth="1"/>
    <col min="16139" max="16139" width="17.7109375" style="129" customWidth="1"/>
    <col min="16140" max="16384" width="9.140625" style="129"/>
  </cols>
  <sheetData>
    <row r="1" spans="1:11" s="126" customFormat="1" ht="14.25" x14ac:dyDescent="0.25">
      <c r="A1" s="125"/>
      <c r="B1" s="125"/>
      <c r="C1" s="125"/>
      <c r="D1" s="125"/>
      <c r="E1" s="125"/>
      <c r="F1" s="125"/>
      <c r="K1" s="127" t="s">
        <v>103</v>
      </c>
    </row>
    <row r="2" spans="1:11" s="126" customFormat="1" ht="14.25" x14ac:dyDescent="0.25">
      <c r="A2" s="125"/>
      <c r="B2" s="125"/>
      <c r="C2" s="125"/>
      <c r="D2" s="125"/>
      <c r="E2" s="125"/>
      <c r="F2" s="125"/>
      <c r="K2" s="127" t="s">
        <v>13</v>
      </c>
    </row>
    <row r="3" spans="1:11" s="126" customFormat="1" ht="14.25" x14ac:dyDescent="0.25">
      <c r="A3" s="125"/>
      <c r="B3" s="125"/>
      <c r="C3" s="125"/>
      <c r="D3" s="125"/>
      <c r="E3" s="125"/>
      <c r="F3" s="125"/>
      <c r="K3" s="127" t="s">
        <v>173</v>
      </c>
    </row>
    <row r="4" spans="1:11" s="126" customFormat="1" ht="14.25" x14ac:dyDescent="0.25">
      <c r="A4" s="125"/>
      <c r="B4" s="125"/>
      <c r="C4" s="125"/>
      <c r="D4" s="125"/>
      <c r="E4" s="125"/>
      <c r="F4" s="125"/>
      <c r="K4" s="127"/>
    </row>
    <row r="5" spans="1:11" s="126" customFormat="1" ht="44.25" customHeight="1" x14ac:dyDescent="0.25">
      <c r="A5" s="480" t="s">
        <v>249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</row>
    <row r="6" spans="1:11" s="126" customFormat="1" ht="33.75" customHeight="1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 s="126" customFormat="1" ht="40.5" customHeight="1" x14ac:dyDescent="0.25">
      <c r="A7" s="481" t="s">
        <v>174</v>
      </c>
      <c r="B7" s="482"/>
      <c r="C7" s="483"/>
      <c r="D7" s="467" t="s">
        <v>6</v>
      </c>
      <c r="E7" s="468"/>
      <c r="F7" s="468"/>
      <c r="G7" s="468"/>
      <c r="H7" s="468"/>
      <c r="I7" s="468"/>
      <c r="J7" s="468"/>
      <c r="K7" s="469"/>
    </row>
    <row r="8" spans="1:11" s="126" customFormat="1" ht="40.5" customHeight="1" x14ac:dyDescent="0.25">
      <c r="A8" s="484"/>
      <c r="B8" s="485"/>
      <c r="C8" s="486"/>
      <c r="D8" s="467" t="s">
        <v>175</v>
      </c>
      <c r="E8" s="468"/>
      <c r="F8" s="468"/>
      <c r="G8" s="469"/>
      <c r="H8" s="470" t="s">
        <v>176</v>
      </c>
      <c r="I8" s="471"/>
      <c r="J8" s="471"/>
      <c r="K8" s="472"/>
    </row>
    <row r="9" spans="1:11" s="126" customFormat="1" ht="37.5" customHeight="1" x14ac:dyDescent="0.25">
      <c r="A9" s="487"/>
      <c r="B9" s="488"/>
      <c r="C9" s="489"/>
      <c r="D9" s="4" t="s">
        <v>15</v>
      </c>
      <c r="E9" s="4" t="s">
        <v>16</v>
      </c>
      <c r="F9" s="4" t="s">
        <v>17</v>
      </c>
      <c r="G9" s="4" t="s">
        <v>7</v>
      </c>
      <c r="H9" s="4" t="s">
        <v>15</v>
      </c>
      <c r="I9" s="4" t="s">
        <v>16</v>
      </c>
      <c r="J9" s="4" t="s">
        <v>17</v>
      </c>
      <c r="K9" s="128" t="s">
        <v>7</v>
      </c>
    </row>
    <row r="10" spans="1:11" s="306" customFormat="1" ht="16.5" customHeight="1" x14ac:dyDescent="0.25">
      <c r="A10" s="426" t="s">
        <v>281</v>
      </c>
      <c r="B10" s="426"/>
      <c r="C10" s="426"/>
      <c r="D10" s="426"/>
      <c r="E10" s="426"/>
      <c r="F10" s="313"/>
      <c r="G10" s="313"/>
      <c r="H10" s="313"/>
      <c r="I10" s="313"/>
      <c r="J10" s="313"/>
      <c r="K10" s="313"/>
    </row>
    <row r="11" spans="1:11" s="306" customFormat="1" ht="24.75" customHeight="1" x14ac:dyDescent="0.25">
      <c r="A11" s="433" t="s">
        <v>282</v>
      </c>
      <c r="B11" s="433"/>
      <c r="C11" s="433"/>
      <c r="D11" s="433"/>
      <c r="E11" s="433"/>
      <c r="F11" s="313"/>
      <c r="G11" s="313"/>
      <c r="H11" s="313"/>
      <c r="I11" s="313"/>
      <c r="J11" s="313"/>
      <c r="K11" s="313"/>
    </row>
    <row r="12" spans="1:11" s="306" customFormat="1" ht="12.75" customHeight="1" x14ac:dyDescent="0.3">
      <c r="A12" s="434" t="s">
        <v>177</v>
      </c>
      <c r="B12" s="435"/>
      <c r="C12" s="307" t="s">
        <v>178</v>
      </c>
      <c r="D12" s="307"/>
      <c r="E12" s="308"/>
      <c r="F12" s="313"/>
      <c r="G12" s="313"/>
      <c r="H12" s="313"/>
      <c r="I12" s="313"/>
      <c r="J12" s="313"/>
      <c r="K12" s="313"/>
    </row>
    <row r="13" spans="1:11" s="306" customFormat="1" ht="40.5" customHeight="1" x14ac:dyDescent="0.25">
      <c r="A13" s="435"/>
      <c r="B13" s="435"/>
      <c r="C13" s="411" t="s">
        <v>276</v>
      </c>
      <c r="D13" s="411"/>
      <c r="E13" s="411"/>
      <c r="F13" s="313"/>
      <c r="G13" s="313"/>
      <c r="H13" s="313"/>
      <c r="I13" s="313"/>
      <c r="J13" s="313"/>
      <c r="K13" s="313"/>
    </row>
    <row r="14" spans="1:11" s="306" customFormat="1" ht="16.5" x14ac:dyDescent="0.25">
      <c r="A14" s="410">
        <v>1001</v>
      </c>
      <c r="B14" s="410" t="s">
        <v>275</v>
      </c>
      <c r="C14" s="314" t="s">
        <v>179</v>
      </c>
      <c r="D14" s="314"/>
      <c r="E14" s="314"/>
      <c r="F14" s="313"/>
      <c r="G14" s="313"/>
      <c r="H14" s="313"/>
      <c r="I14" s="313"/>
      <c r="J14" s="313"/>
      <c r="K14" s="313"/>
    </row>
    <row r="15" spans="1:11" s="306" customFormat="1" ht="32.25" customHeight="1" x14ac:dyDescent="0.25">
      <c r="A15" s="410"/>
      <c r="B15" s="410"/>
      <c r="C15" s="411" t="s">
        <v>278</v>
      </c>
      <c r="D15" s="411"/>
      <c r="E15" s="411"/>
      <c r="F15" s="313"/>
      <c r="G15" s="313"/>
      <c r="H15" s="313"/>
      <c r="I15" s="313"/>
      <c r="J15" s="313"/>
      <c r="K15" s="313"/>
    </row>
    <row r="16" spans="1:11" s="306" customFormat="1" ht="24" customHeight="1" x14ac:dyDescent="0.3">
      <c r="A16" s="412" t="s">
        <v>180</v>
      </c>
      <c r="B16" s="412"/>
      <c r="C16" s="309" t="s">
        <v>181</v>
      </c>
      <c r="D16" s="310"/>
      <c r="E16" s="311" t="s">
        <v>182</v>
      </c>
      <c r="F16" s="313"/>
      <c r="G16" s="313"/>
      <c r="H16" s="313"/>
      <c r="I16" s="313"/>
      <c r="J16" s="313"/>
      <c r="K16" s="313"/>
    </row>
    <row r="17" spans="1:11" s="306" customFormat="1" ht="20.25" customHeight="1" x14ac:dyDescent="0.3">
      <c r="A17" s="412" t="s">
        <v>183</v>
      </c>
      <c r="B17" s="412"/>
      <c r="C17" s="309" t="s">
        <v>181</v>
      </c>
      <c r="D17" s="310"/>
      <c r="E17" s="311" t="s">
        <v>182</v>
      </c>
      <c r="F17" s="313"/>
      <c r="G17" s="313"/>
      <c r="H17" s="313"/>
      <c r="I17" s="313"/>
      <c r="J17" s="313"/>
      <c r="K17" s="313"/>
    </row>
    <row r="18" spans="1:11" s="306" customFormat="1" ht="16.5" x14ac:dyDescent="0.3">
      <c r="A18" s="413" t="s">
        <v>283</v>
      </c>
      <c r="B18" s="413"/>
      <c r="C18" s="309" t="s">
        <v>181</v>
      </c>
      <c r="D18" s="310"/>
      <c r="E18" s="311" t="s">
        <v>182</v>
      </c>
      <c r="F18" s="313"/>
      <c r="G18" s="313"/>
      <c r="H18" s="313"/>
      <c r="I18" s="313"/>
      <c r="J18" s="313"/>
      <c r="K18" s="313"/>
    </row>
    <row r="19" spans="1:11" s="306" customFormat="1" ht="24.75" customHeight="1" x14ac:dyDescent="0.25">
      <c r="A19" s="411" t="s">
        <v>284</v>
      </c>
      <c r="B19" s="411"/>
      <c r="C19" s="411"/>
      <c r="D19" s="312" t="s">
        <v>184</v>
      </c>
      <c r="E19" s="312" t="s">
        <v>184</v>
      </c>
      <c r="F19" s="312" t="s">
        <v>184</v>
      </c>
      <c r="G19" s="312" t="s">
        <v>184</v>
      </c>
      <c r="H19" s="313">
        <v>0</v>
      </c>
      <c r="I19" s="313">
        <v>0</v>
      </c>
      <c r="J19" s="315">
        <v>40000</v>
      </c>
      <c r="K19" s="315">
        <v>40000</v>
      </c>
    </row>
    <row r="20" spans="1:11" s="306" customFormat="1" ht="27.75" customHeight="1" x14ac:dyDescent="0.25">
      <c r="A20" s="414" t="s">
        <v>185</v>
      </c>
      <c r="B20" s="414"/>
      <c r="C20" s="414"/>
      <c r="D20" s="414"/>
      <c r="E20" s="414"/>
      <c r="F20" s="313"/>
      <c r="G20" s="313"/>
      <c r="H20" s="313"/>
      <c r="I20" s="313"/>
      <c r="J20" s="313"/>
      <c r="K20" s="313"/>
    </row>
    <row r="21" spans="1:11" s="306" customFormat="1" ht="17.25" customHeight="1" x14ac:dyDescent="0.25">
      <c r="A21" s="409" t="s">
        <v>285</v>
      </c>
      <c r="B21" s="409"/>
      <c r="C21" s="409"/>
      <c r="D21" s="409"/>
      <c r="E21" s="409"/>
      <c r="F21" s="313"/>
      <c r="G21" s="313"/>
      <c r="H21" s="313"/>
      <c r="I21" s="313"/>
      <c r="J21" s="313"/>
      <c r="K21" s="313"/>
    </row>
    <row r="22" spans="1:11" s="306" customFormat="1" ht="17.25" customHeight="1" x14ac:dyDescent="0.25">
      <c r="A22" s="414" t="s">
        <v>186</v>
      </c>
      <c r="B22" s="414"/>
      <c r="C22" s="414"/>
      <c r="D22" s="414"/>
      <c r="E22" s="414"/>
      <c r="F22" s="313"/>
      <c r="G22" s="313"/>
      <c r="H22" s="313"/>
      <c r="I22" s="313"/>
      <c r="J22" s="313"/>
      <c r="K22" s="313"/>
    </row>
    <row r="23" spans="1:11" s="306" customFormat="1" ht="29.25" customHeight="1" x14ac:dyDescent="0.25">
      <c r="A23" s="409" t="s">
        <v>286</v>
      </c>
      <c r="B23" s="409"/>
      <c r="C23" s="409"/>
      <c r="D23" s="409"/>
      <c r="E23" s="409"/>
      <c r="F23" s="313"/>
      <c r="G23" s="313"/>
      <c r="H23" s="313"/>
      <c r="I23" s="313"/>
      <c r="J23" s="313"/>
      <c r="K23" s="313"/>
    </row>
    <row r="24" spans="1:11" s="306" customFormat="1" ht="29.25" customHeight="1" x14ac:dyDescent="0.25">
      <c r="A24" s="414" t="s">
        <v>287</v>
      </c>
      <c r="B24" s="414"/>
      <c r="C24" s="414"/>
      <c r="D24" s="414"/>
      <c r="E24" s="414"/>
      <c r="F24" s="313"/>
      <c r="G24" s="313"/>
      <c r="H24" s="313"/>
      <c r="I24" s="313"/>
      <c r="J24" s="313"/>
      <c r="K24" s="313"/>
    </row>
    <row r="25" spans="1:11" s="306" customFormat="1" ht="24.75" customHeight="1" x14ac:dyDescent="0.25">
      <c r="A25" s="409" t="s">
        <v>288</v>
      </c>
      <c r="B25" s="409"/>
      <c r="C25" s="409"/>
      <c r="D25" s="409"/>
      <c r="E25" s="409"/>
      <c r="F25" s="313"/>
      <c r="G25" s="313"/>
      <c r="H25" s="313"/>
      <c r="I25" s="313"/>
      <c r="J25" s="313"/>
      <c r="K25" s="313"/>
    </row>
    <row r="26" spans="1:11" s="126" customFormat="1" ht="16.5" customHeight="1" x14ac:dyDescent="0.25">
      <c r="A26" s="490" t="s">
        <v>193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2"/>
    </row>
    <row r="27" spans="1:11" s="126" customFormat="1" ht="24.75" customHeight="1" x14ac:dyDescent="0.25">
      <c r="A27" s="427" t="s">
        <v>177</v>
      </c>
      <c r="B27" s="428"/>
      <c r="C27" s="160" t="s">
        <v>178</v>
      </c>
      <c r="D27" s="161"/>
      <c r="E27" s="161"/>
      <c r="F27" s="161"/>
      <c r="G27" s="162"/>
      <c r="H27" s="162"/>
      <c r="I27" s="162"/>
      <c r="J27" s="162"/>
      <c r="K27" s="163"/>
    </row>
    <row r="28" spans="1:11" s="126" customFormat="1" ht="12.75" customHeight="1" x14ac:dyDescent="0.25">
      <c r="A28" s="429"/>
      <c r="B28" s="430"/>
      <c r="C28" s="493" t="s">
        <v>59</v>
      </c>
      <c r="D28" s="494"/>
      <c r="E28" s="494"/>
      <c r="F28" s="494"/>
      <c r="G28" s="494"/>
      <c r="H28" s="287"/>
      <c r="I28" s="287"/>
      <c r="J28" s="287"/>
      <c r="K28" s="164"/>
    </row>
    <row r="29" spans="1:11" s="126" customFormat="1" ht="40.5" customHeight="1" x14ac:dyDescent="0.25">
      <c r="A29" s="431">
        <v>1049</v>
      </c>
      <c r="B29" s="431" t="s">
        <v>194</v>
      </c>
      <c r="C29" s="165" t="s">
        <v>179</v>
      </c>
      <c r="D29" s="166"/>
      <c r="E29" s="166"/>
      <c r="F29" s="166"/>
      <c r="G29" s="162"/>
      <c r="H29" s="162"/>
      <c r="I29" s="162"/>
      <c r="J29" s="162"/>
      <c r="K29" s="305"/>
    </row>
    <row r="30" spans="1:11" s="126" customFormat="1" x14ac:dyDescent="0.25">
      <c r="A30" s="432"/>
      <c r="B30" s="432"/>
      <c r="C30" s="495" t="s">
        <v>195</v>
      </c>
      <c r="D30" s="496"/>
      <c r="E30" s="496"/>
      <c r="F30" s="496"/>
      <c r="G30" s="496"/>
      <c r="H30" s="288"/>
      <c r="I30" s="288"/>
      <c r="J30" s="288"/>
      <c r="K30" s="164"/>
    </row>
    <row r="31" spans="1:11" s="126" customFormat="1" ht="32.25" customHeight="1" x14ac:dyDescent="0.25">
      <c r="A31" s="424" t="s">
        <v>180</v>
      </c>
      <c r="B31" s="425"/>
      <c r="C31" s="159" t="s">
        <v>196</v>
      </c>
      <c r="D31" s="159"/>
      <c r="E31" s="159"/>
      <c r="F31" s="159"/>
      <c r="G31" s="236">
        <f>SUM(G32:G34)</f>
        <v>61.22</v>
      </c>
      <c r="H31" s="159"/>
      <c r="I31" s="159"/>
      <c r="J31" s="159"/>
      <c r="K31" s="167"/>
    </row>
    <row r="32" spans="1:11" s="126" customFormat="1" ht="24" customHeight="1" x14ac:dyDescent="0.25">
      <c r="A32" s="289"/>
      <c r="B32" s="290"/>
      <c r="C32" s="159" t="s">
        <v>197</v>
      </c>
      <c r="D32" s="159"/>
      <c r="E32" s="159"/>
      <c r="F32" s="159"/>
      <c r="G32" s="236">
        <v>39.83</v>
      </c>
      <c r="H32" s="159"/>
      <c r="I32" s="159"/>
      <c r="J32" s="159"/>
      <c r="K32" s="167"/>
    </row>
    <row r="33" spans="1:11" s="126" customFormat="1" ht="20.25" customHeight="1" x14ac:dyDescent="0.25">
      <c r="A33" s="289"/>
      <c r="B33" s="290"/>
      <c r="C33" s="159" t="s">
        <v>198</v>
      </c>
      <c r="D33" s="159"/>
      <c r="E33" s="159"/>
      <c r="F33" s="159"/>
      <c r="G33" s="237">
        <v>2</v>
      </c>
      <c r="H33" s="168"/>
      <c r="I33" s="168"/>
      <c r="J33" s="168"/>
      <c r="K33" s="167"/>
    </row>
    <row r="34" spans="1:11" s="126" customFormat="1" x14ac:dyDescent="0.25">
      <c r="A34" s="289"/>
      <c r="B34" s="290"/>
      <c r="C34" s="159" t="s">
        <v>199</v>
      </c>
      <c r="D34" s="159"/>
      <c r="E34" s="159"/>
      <c r="F34" s="159"/>
      <c r="G34" s="237">
        <f>20.24-0.85</f>
        <v>19.389999999999997</v>
      </c>
      <c r="H34" s="168"/>
      <c r="I34" s="168"/>
      <c r="J34" s="168"/>
      <c r="K34" s="167"/>
    </row>
    <row r="35" spans="1:11" s="126" customFormat="1" ht="24.75" customHeight="1" x14ac:dyDescent="0.25">
      <c r="A35" s="289"/>
      <c r="B35" s="290"/>
      <c r="C35" s="159" t="s">
        <v>248</v>
      </c>
      <c r="D35" s="159"/>
      <c r="E35" s="159"/>
      <c r="F35" s="159"/>
      <c r="G35" s="168">
        <v>21</v>
      </c>
      <c r="H35" s="168"/>
      <c r="I35" s="168"/>
      <c r="J35" s="168"/>
      <c r="K35" s="167"/>
    </row>
    <row r="36" spans="1:11" s="126" customFormat="1" ht="27.75" customHeight="1" x14ac:dyDescent="0.25">
      <c r="A36" s="421" t="s">
        <v>183</v>
      </c>
      <c r="B36" s="423"/>
      <c r="C36" s="159" t="s">
        <v>200</v>
      </c>
      <c r="D36" s="159"/>
      <c r="E36" s="159"/>
      <c r="F36" s="159"/>
      <c r="G36" s="168"/>
      <c r="H36" s="168"/>
      <c r="I36" s="168"/>
      <c r="J36" s="168"/>
      <c r="K36" s="167"/>
    </row>
    <row r="37" spans="1:11" s="126" customFormat="1" ht="30" customHeight="1" x14ac:dyDescent="0.25">
      <c r="A37" s="285"/>
      <c r="B37" s="285"/>
      <c r="C37" s="159" t="s">
        <v>201</v>
      </c>
      <c r="D37" s="159"/>
      <c r="E37" s="159"/>
      <c r="F37" s="159"/>
      <c r="G37" s="168"/>
      <c r="H37" s="168"/>
      <c r="I37" s="168"/>
      <c r="J37" s="168"/>
      <c r="K37" s="167"/>
    </row>
    <row r="38" spans="1:11" s="126" customFormat="1" ht="30.75" customHeight="1" x14ac:dyDescent="0.25">
      <c r="A38" s="285"/>
      <c r="B38" s="285"/>
      <c r="C38" s="159" t="s">
        <v>202</v>
      </c>
      <c r="D38" s="159"/>
      <c r="E38" s="159"/>
      <c r="F38" s="159"/>
      <c r="G38" s="168"/>
      <c r="H38" s="168"/>
      <c r="I38" s="168"/>
      <c r="J38" s="168"/>
      <c r="K38" s="167"/>
    </row>
    <row r="39" spans="1:11" s="126" customFormat="1" ht="45.75" customHeight="1" x14ac:dyDescent="0.25">
      <c r="A39" s="285"/>
      <c r="B39" s="285"/>
      <c r="C39" s="159" t="s">
        <v>203</v>
      </c>
      <c r="D39" s="159"/>
      <c r="E39" s="159"/>
      <c r="F39" s="159"/>
      <c r="G39" s="168"/>
      <c r="H39" s="168"/>
      <c r="I39" s="168"/>
      <c r="J39" s="168"/>
      <c r="K39" s="167"/>
    </row>
    <row r="40" spans="1:11" s="126" customFormat="1" ht="29.25" customHeight="1" x14ac:dyDescent="0.25">
      <c r="A40" s="419" t="s">
        <v>204</v>
      </c>
      <c r="B40" s="419"/>
      <c r="C40" s="420"/>
      <c r="D40" s="169" t="s">
        <v>184</v>
      </c>
      <c r="E40" s="169" t="s">
        <v>184</v>
      </c>
      <c r="F40" s="169" t="s">
        <v>184</v>
      </c>
      <c r="G40" s="169" t="s">
        <v>184</v>
      </c>
      <c r="H40" s="238">
        <v>-69252.5</v>
      </c>
      <c r="I40" s="238">
        <v>-157412.5</v>
      </c>
      <c r="J40" s="238">
        <v>-300612.5</v>
      </c>
      <c r="K40" s="238">
        <v>-382982.5</v>
      </c>
    </row>
    <row r="41" spans="1:11" s="126" customFormat="1" ht="24.75" customHeight="1" x14ac:dyDescent="0.25">
      <c r="A41" s="418" t="s">
        <v>205</v>
      </c>
      <c r="B41" s="419"/>
      <c r="C41" s="420"/>
      <c r="D41" s="291"/>
      <c r="E41" s="291"/>
      <c r="F41" s="291"/>
      <c r="G41" s="167"/>
      <c r="H41" s="167"/>
      <c r="I41" s="167"/>
      <c r="J41" s="167"/>
      <c r="K41" s="174"/>
    </row>
    <row r="42" spans="1:11" s="126" customFormat="1" ht="29.25" customHeight="1" x14ac:dyDescent="0.25">
      <c r="A42" s="415" t="s">
        <v>206</v>
      </c>
      <c r="B42" s="416"/>
      <c r="C42" s="417"/>
      <c r="D42" s="292"/>
      <c r="E42" s="292"/>
      <c r="F42" s="292"/>
      <c r="G42" s="167"/>
      <c r="H42" s="167"/>
      <c r="I42" s="167"/>
      <c r="J42" s="167"/>
      <c r="K42" s="174"/>
    </row>
    <row r="43" spans="1:11" s="126" customFormat="1" ht="24.75" customHeight="1" x14ac:dyDescent="0.25">
      <c r="A43" s="421" t="s">
        <v>185</v>
      </c>
      <c r="B43" s="422"/>
      <c r="C43" s="422"/>
      <c r="D43" s="422"/>
      <c r="E43" s="422"/>
      <c r="F43" s="422"/>
      <c r="G43" s="422"/>
      <c r="H43" s="422"/>
      <c r="I43" s="422"/>
      <c r="J43" s="422"/>
      <c r="K43" s="423"/>
    </row>
    <row r="44" spans="1:11" s="126" customFormat="1" ht="26.25" customHeight="1" x14ac:dyDescent="0.25">
      <c r="A44" s="421" t="s">
        <v>189</v>
      </c>
      <c r="B44" s="422"/>
      <c r="C44" s="422"/>
      <c r="D44" s="422"/>
      <c r="E44" s="422"/>
      <c r="F44" s="422"/>
      <c r="G44" s="422"/>
      <c r="H44" s="422"/>
      <c r="I44" s="422"/>
      <c r="J44" s="422"/>
      <c r="K44" s="423"/>
    </row>
    <row r="45" spans="1:11" s="126" customFormat="1" ht="21.75" customHeight="1" x14ac:dyDescent="0.25">
      <c r="A45" s="436" t="s">
        <v>186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8"/>
    </row>
    <row r="46" spans="1:11" s="126" customFormat="1" ht="34.5" customHeight="1" x14ac:dyDescent="0.25">
      <c r="A46" s="421" t="s">
        <v>190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3"/>
    </row>
    <row r="47" spans="1:11" ht="18.75" customHeight="1" x14ac:dyDescent="0.25">
      <c r="A47" s="444" t="s">
        <v>177</v>
      </c>
      <c r="B47" s="476"/>
      <c r="C47" s="479" t="s">
        <v>191</v>
      </c>
      <c r="D47" s="451"/>
      <c r="E47" s="451"/>
      <c r="F47" s="451"/>
      <c r="G47" s="451"/>
      <c r="H47" s="451"/>
      <c r="I47" s="451"/>
      <c r="J47" s="451"/>
      <c r="K47" s="452"/>
    </row>
    <row r="48" spans="1:11" ht="13.5" customHeight="1" x14ac:dyDescent="0.25">
      <c r="A48" s="446"/>
      <c r="B48" s="477"/>
      <c r="C48" s="473"/>
      <c r="D48" s="454"/>
      <c r="E48" s="454"/>
      <c r="F48" s="454"/>
      <c r="G48" s="454"/>
      <c r="H48" s="454"/>
      <c r="I48" s="454"/>
      <c r="J48" s="454"/>
      <c r="K48" s="455"/>
    </row>
    <row r="49" spans="1:11" ht="14.25" customHeight="1" x14ac:dyDescent="0.25">
      <c r="A49" s="448"/>
      <c r="B49" s="478"/>
      <c r="C49" s="473" t="s">
        <v>207</v>
      </c>
      <c r="D49" s="454"/>
      <c r="E49" s="454"/>
      <c r="F49" s="454"/>
      <c r="G49" s="454"/>
      <c r="H49" s="454"/>
      <c r="I49" s="454"/>
      <c r="J49" s="454"/>
      <c r="K49" s="455"/>
    </row>
    <row r="50" spans="1:11" ht="14.25" customHeight="1" x14ac:dyDescent="0.25">
      <c r="A50" s="459">
        <v>1049</v>
      </c>
      <c r="B50" s="459" t="s">
        <v>208</v>
      </c>
      <c r="C50" s="473" t="s">
        <v>192</v>
      </c>
      <c r="D50" s="454"/>
      <c r="E50" s="454"/>
      <c r="F50" s="454"/>
      <c r="G50" s="454"/>
      <c r="H50" s="454"/>
      <c r="I50" s="454"/>
      <c r="J50" s="454"/>
      <c r="K50" s="455"/>
    </row>
    <row r="51" spans="1:11" ht="14.25" customHeight="1" x14ac:dyDescent="0.25">
      <c r="A51" s="460"/>
      <c r="B51" s="460"/>
      <c r="C51" s="473" t="s">
        <v>209</v>
      </c>
      <c r="D51" s="454"/>
      <c r="E51" s="454"/>
      <c r="F51" s="454"/>
      <c r="G51" s="454"/>
      <c r="H51" s="454"/>
      <c r="I51" s="454"/>
      <c r="J51" s="454"/>
      <c r="K51" s="455"/>
    </row>
    <row r="52" spans="1:11" ht="30.75" customHeight="1" x14ac:dyDescent="0.25">
      <c r="A52" s="439" t="s">
        <v>180</v>
      </c>
      <c r="B52" s="440"/>
      <c r="C52" s="170" t="s">
        <v>210</v>
      </c>
      <c r="D52" s="177"/>
      <c r="E52" s="177"/>
      <c r="F52" s="177"/>
      <c r="G52" s="175"/>
      <c r="H52" s="175"/>
      <c r="I52" s="175"/>
      <c r="J52" s="175"/>
      <c r="K52" s="173"/>
    </row>
    <row r="53" spans="1:11" ht="18.75" customHeight="1" x14ac:dyDescent="0.25">
      <c r="A53" s="170"/>
      <c r="B53" s="176"/>
      <c r="C53" s="170" t="s">
        <v>188</v>
      </c>
      <c r="D53" s="177"/>
      <c r="E53" s="177"/>
      <c r="F53" s="177"/>
      <c r="G53" s="175"/>
      <c r="H53" s="175"/>
      <c r="I53" s="175"/>
      <c r="J53" s="175"/>
      <c r="K53" s="173"/>
    </row>
    <row r="54" spans="1:11" ht="18.75" customHeight="1" x14ac:dyDescent="0.25">
      <c r="A54" s="170"/>
      <c r="B54" s="176"/>
      <c r="C54" s="170" t="s">
        <v>211</v>
      </c>
      <c r="D54" s="177"/>
      <c r="E54" s="177"/>
      <c r="F54" s="177"/>
      <c r="G54" s="177"/>
      <c r="H54" s="177"/>
      <c r="I54" s="177"/>
      <c r="J54" s="177"/>
      <c r="K54" s="173"/>
    </row>
    <row r="55" spans="1:11" ht="39.75" customHeight="1" x14ac:dyDescent="0.25">
      <c r="A55" s="474"/>
      <c r="B55" s="475"/>
      <c r="C55" s="170" t="s">
        <v>212</v>
      </c>
      <c r="D55" s="177"/>
      <c r="E55" s="177"/>
      <c r="F55" s="177"/>
      <c r="G55" s="177"/>
      <c r="H55" s="177"/>
      <c r="I55" s="177"/>
      <c r="J55" s="177"/>
      <c r="K55" s="173"/>
    </row>
    <row r="56" spans="1:11" ht="26.25" customHeight="1" x14ac:dyDescent="0.25">
      <c r="A56" s="439" t="s">
        <v>183</v>
      </c>
      <c r="B56" s="440"/>
      <c r="C56" s="170" t="s">
        <v>181</v>
      </c>
      <c r="D56" s="177"/>
      <c r="E56" s="177"/>
      <c r="F56" s="177"/>
      <c r="G56" s="177"/>
      <c r="H56" s="177"/>
      <c r="I56" s="177"/>
      <c r="J56" s="177"/>
      <c r="K56" s="173"/>
    </row>
    <row r="57" spans="1:11" ht="39.75" customHeight="1" x14ac:dyDescent="0.25">
      <c r="A57" s="439" t="s">
        <v>213</v>
      </c>
      <c r="B57" s="441"/>
      <c r="C57" s="441"/>
      <c r="D57" s="171" t="s">
        <v>184</v>
      </c>
      <c r="E57" s="171" t="s">
        <v>184</v>
      </c>
      <c r="F57" s="171" t="s">
        <v>184</v>
      </c>
      <c r="G57" s="171" t="s">
        <v>184</v>
      </c>
      <c r="H57" s="239">
        <v>69252.5</v>
      </c>
      <c r="I57" s="239">
        <v>157412.5</v>
      </c>
      <c r="J57" s="239">
        <v>260612.5</v>
      </c>
      <c r="K57" s="240">
        <v>342982.5</v>
      </c>
    </row>
    <row r="58" spans="1:11" x14ac:dyDescent="0.25">
      <c r="A58" s="442" t="s">
        <v>214</v>
      </c>
      <c r="B58" s="443"/>
      <c r="C58" s="443"/>
      <c r="D58" s="179"/>
      <c r="E58" s="179"/>
      <c r="F58" s="179"/>
      <c r="G58" s="172"/>
      <c r="H58" s="172"/>
      <c r="I58" s="172"/>
      <c r="J58" s="172"/>
      <c r="K58" s="173"/>
    </row>
    <row r="59" spans="1:11" ht="43.5" customHeight="1" x14ac:dyDescent="0.25">
      <c r="A59" s="439" t="s">
        <v>215</v>
      </c>
      <c r="B59" s="441"/>
      <c r="C59" s="441"/>
      <c r="D59" s="177"/>
      <c r="E59" s="177"/>
      <c r="F59" s="177"/>
      <c r="G59" s="172"/>
      <c r="H59" s="172"/>
      <c r="I59" s="172"/>
      <c r="J59" s="172"/>
      <c r="K59" s="178"/>
    </row>
    <row r="60" spans="1:11" ht="31.5" customHeight="1" x14ac:dyDescent="0.25">
      <c r="A60" s="421" t="s">
        <v>187</v>
      </c>
      <c r="B60" s="422"/>
      <c r="C60" s="422"/>
      <c r="D60" s="422"/>
      <c r="E60" s="422"/>
      <c r="F60" s="422"/>
      <c r="G60" s="422"/>
      <c r="H60" s="422"/>
      <c r="I60" s="422"/>
      <c r="J60" s="422"/>
      <c r="K60" s="423"/>
    </row>
    <row r="61" spans="1:11" ht="28.5" customHeight="1" x14ac:dyDescent="0.25">
      <c r="A61" s="421" t="s">
        <v>189</v>
      </c>
      <c r="B61" s="422"/>
      <c r="C61" s="422"/>
      <c r="D61" s="422"/>
      <c r="E61" s="422"/>
      <c r="F61" s="422"/>
      <c r="G61" s="422"/>
      <c r="H61" s="422"/>
      <c r="I61" s="422"/>
      <c r="J61" s="422"/>
      <c r="K61" s="423"/>
    </row>
    <row r="62" spans="1:11" s="126" customFormat="1" ht="21.75" customHeight="1" x14ac:dyDescent="0.25">
      <c r="A62" s="436" t="s">
        <v>186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8"/>
    </row>
    <row r="63" spans="1:11" s="126" customFormat="1" ht="34.5" customHeight="1" x14ac:dyDescent="0.25">
      <c r="A63" s="421" t="s">
        <v>190</v>
      </c>
      <c r="B63" s="422"/>
      <c r="C63" s="465"/>
      <c r="D63" s="465"/>
      <c r="E63" s="465"/>
      <c r="F63" s="465"/>
      <c r="G63" s="465"/>
      <c r="H63" s="465"/>
      <c r="I63" s="465"/>
      <c r="J63" s="465"/>
      <c r="K63" s="466"/>
    </row>
    <row r="64" spans="1:11" ht="18.75" customHeight="1" x14ac:dyDescent="0.25">
      <c r="A64" s="444" t="s">
        <v>177</v>
      </c>
      <c r="B64" s="445"/>
      <c r="C64" s="450" t="s">
        <v>191</v>
      </c>
      <c r="D64" s="451"/>
      <c r="E64" s="451"/>
      <c r="F64" s="451"/>
      <c r="G64" s="451"/>
      <c r="H64" s="451"/>
      <c r="I64" s="451"/>
      <c r="J64" s="451"/>
      <c r="K64" s="452"/>
    </row>
    <row r="65" spans="1:11" ht="13.5" customHeight="1" x14ac:dyDescent="0.25">
      <c r="A65" s="446"/>
      <c r="B65" s="447"/>
      <c r="C65" s="453"/>
      <c r="D65" s="454"/>
      <c r="E65" s="454"/>
      <c r="F65" s="454"/>
      <c r="G65" s="454"/>
      <c r="H65" s="454"/>
      <c r="I65" s="454"/>
      <c r="J65" s="454"/>
      <c r="K65" s="455"/>
    </row>
    <row r="66" spans="1:11" ht="14.25" customHeight="1" x14ac:dyDescent="0.25">
      <c r="A66" s="448"/>
      <c r="B66" s="449"/>
      <c r="C66" s="456" t="s">
        <v>251</v>
      </c>
      <c r="D66" s="457"/>
      <c r="E66" s="457"/>
      <c r="F66" s="457"/>
      <c r="G66" s="457"/>
      <c r="H66" s="457"/>
      <c r="I66" s="457"/>
      <c r="J66" s="457"/>
      <c r="K66" s="458"/>
    </row>
    <row r="67" spans="1:11" ht="14.25" customHeight="1" x14ac:dyDescent="0.25">
      <c r="A67" s="459">
        <v>1049</v>
      </c>
      <c r="B67" s="461" t="s">
        <v>250</v>
      </c>
      <c r="C67" s="463" t="s">
        <v>192</v>
      </c>
      <c r="D67" s="463"/>
      <c r="E67" s="463"/>
      <c r="F67" s="463"/>
      <c r="G67" s="463"/>
      <c r="H67" s="463"/>
      <c r="I67" s="463"/>
      <c r="J67" s="463"/>
      <c r="K67" s="463"/>
    </row>
    <row r="68" spans="1:11" ht="14.25" customHeight="1" x14ac:dyDescent="0.25">
      <c r="A68" s="460"/>
      <c r="B68" s="462"/>
      <c r="C68" s="464" t="s">
        <v>252</v>
      </c>
      <c r="D68" s="464"/>
      <c r="E68" s="464"/>
      <c r="F68" s="464"/>
      <c r="G68" s="464"/>
      <c r="H68" s="464"/>
      <c r="I68" s="464"/>
      <c r="J68" s="464"/>
      <c r="K68" s="464"/>
    </row>
    <row r="69" spans="1:11" ht="30.75" customHeight="1" x14ac:dyDescent="0.25">
      <c r="A69" s="439" t="s">
        <v>180</v>
      </c>
      <c r="B69" s="440"/>
      <c r="C69" s="241" t="s">
        <v>253</v>
      </c>
      <c r="D69" s="242"/>
      <c r="E69" s="242"/>
      <c r="F69" s="242"/>
      <c r="G69" s="243"/>
      <c r="H69" s="243"/>
      <c r="I69" s="243"/>
      <c r="J69" s="243"/>
      <c r="K69" s="244"/>
    </row>
    <row r="70" spans="1:11" ht="39.75" customHeight="1" x14ac:dyDescent="0.25">
      <c r="A70" s="439" t="s">
        <v>183</v>
      </c>
      <c r="B70" s="440"/>
      <c r="C70" s="186" t="s">
        <v>254</v>
      </c>
      <c r="D70" s="177"/>
      <c r="E70" s="177"/>
      <c r="F70" s="177"/>
      <c r="G70" s="177"/>
      <c r="H70" s="177"/>
      <c r="I70" s="177"/>
      <c r="J70" s="177"/>
      <c r="K70" s="173"/>
    </row>
    <row r="71" spans="1:11" ht="39.75" customHeight="1" x14ac:dyDescent="0.25">
      <c r="A71" s="439" t="s">
        <v>213</v>
      </c>
      <c r="B71" s="441"/>
      <c r="C71" s="441"/>
      <c r="D71" s="171" t="s">
        <v>184</v>
      </c>
      <c r="E71" s="171" t="s">
        <v>184</v>
      </c>
      <c r="F71" s="171" t="s">
        <v>184</v>
      </c>
      <c r="G71" s="171" t="s">
        <v>184</v>
      </c>
      <c r="H71" s="238">
        <v>-222620</v>
      </c>
      <c r="I71" s="238">
        <v>-222620</v>
      </c>
      <c r="J71" s="238">
        <v>-222620</v>
      </c>
      <c r="K71" s="238">
        <v>-222620</v>
      </c>
    </row>
    <row r="72" spans="1:11" x14ac:dyDescent="0.25">
      <c r="A72" s="442" t="s">
        <v>214</v>
      </c>
      <c r="B72" s="443"/>
      <c r="C72" s="443"/>
      <c r="D72" s="179"/>
      <c r="E72" s="179"/>
      <c r="F72" s="179"/>
      <c r="G72" s="172"/>
      <c r="H72" s="172"/>
      <c r="I72" s="172"/>
      <c r="J72" s="172"/>
      <c r="K72" s="173"/>
    </row>
    <row r="73" spans="1:11" ht="43.5" customHeight="1" x14ac:dyDescent="0.25">
      <c r="A73" s="439" t="s">
        <v>215</v>
      </c>
      <c r="B73" s="441"/>
      <c r="C73" s="441"/>
      <c r="D73" s="177"/>
      <c r="E73" s="177"/>
      <c r="F73" s="177"/>
      <c r="G73" s="172"/>
      <c r="H73" s="172"/>
      <c r="I73" s="172"/>
      <c r="J73" s="172"/>
      <c r="K73" s="178"/>
    </row>
    <row r="74" spans="1:11" ht="31.5" customHeight="1" x14ac:dyDescent="0.25">
      <c r="A74" s="421" t="s">
        <v>187</v>
      </c>
      <c r="B74" s="422"/>
      <c r="C74" s="422"/>
      <c r="D74" s="422"/>
      <c r="E74" s="422"/>
      <c r="F74" s="422"/>
      <c r="G74" s="422"/>
      <c r="H74" s="422"/>
      <c r="I74" s="422"/>
      <c r="J74" s="422"/>
      <c r="K74" s="423"/>
    </row>
    <row r="75" spans="1:11" ht="28.5" customHeight="1" x14ac:dyDescent="0.25">
      <c r="A75" s="421" t="s">
        <v>189</v>
      </c>
      <c r="B75" s="422"/>
      <c r="C75" s="422"/>
      <c r="D75" s="422"/>
      <c r="E75" s="422"/>
      <c r="F75" s="422"/>
      <c r="G75" s="422"/>
      <c r="H75" s="422"/>
      <c r="I75" s="422"/>
      <c r="J75" s="422"/>
      <c r="K75" s="423"/>
    </row>
    <row r="76" spans="1:11" s="126" customFormat="1" ht="21.75" customHeight="1" x14ac:dyDescent="0.25">
      <c r="A76" s="436" t="s">
        <v>186</v>
      </c>
      <c r="B76" s="437"/>
      <c r="C76" s="437"/>
      <c r="D76" s="437"/>
      <c r="E76" s="437"/>
      <c r="F76" s="437"/>
      <c r="G76" s="437"/>
      <c r="H76" s="437"/>
      <c r="I76" s="437"/>
      <c r="J76" s="437"/>
      <c r="K76" s="438"/>
    </row>
    <row r="77" spans="1:11" s="126" customFormat="1" ht="34.5" customHeight="1" x14ac:dyDescent="0.25">
      <c r="A77" s="421" t="s">
        <v>190</v>
      </c>
      <c r="B77" s="422"/>
      <c r="C77" s="422"/>
      <c r="D77" s="422"/>
      <c r="E77" s="422"/>
      <c r="F77" s="422"/>
      <c r="G77" s="422"/>
      <c r="H77" s="422"/>
      <c r="I77" s="422"/>
      <c r="J77" s="422"/>
      <c r="K77" s="423"/>
    </row>
    <row r="78" spans="1:11" ht="18.75" customHeight="1" x14ac:dyDescent="0.25">
      <c r="A78" s="444" t="s">
        <v>177</v>
      </c>
      <c r="B78" s="445"/>
      <c r="C78" s="450" t="s">
        <v>191</v>
      </c>
      <c r="D78" s="451"/>
      <c r="E78" s="451"/>
      <c r="F78" s="451"/>
      <c r="G78" s="451"/>
      <c r="H78" s="451"/>
      <c r="I78" s="451"/>
      <c r="J78" s="451"/>
      <c r="K78" s="452"/>
    </row>
    <row r="79" spans="1:11" ht="13.5" customHeight="1" x14ac:dyDescent="0.25">
      <c r="A79" s="446"/>
      <c r="B79" s="447"/>
      <c r="C79" s="453"/>
      <c r="D79" s="454"/>
      <c r="E79" s="454"/>
      <c r="F79" s="454"/>
      <c r="G79" s="454"/>
      <c r="H79" s="454"/>
      <c r="I79" s="454"/>
      <c r="J79" s="454"/>
      <c r="K79" s="455"/>
    </row>
    <row r="80" spans="1:11" ht="14.25" customHeight="1" x14ac:dyDescent="0.25">
      <c r="A80" s="448"/>
      <c r="B80" s="449"/>
      <c r="C80" s="456" t="s">
        <v>256</v>
      </c>
      <c r="D80" s="457"/>
      <c r="E80" s="457"/>
      <c r="F80" s="457"/>
      <c r="G80" s="457"/>
      <c r="H80" s="457"/>
      <c r="I80" s="457"/>
      <c r="J80" s="457"/>
      <c r="K80" s="458"/>
    </row>
    <row r="81" spans="1:11" ht="14.25" customHeight="1" x14ac:dyDescent="0.25">
      <c r="A81" s="459">
        <v>1049</v>
      </c>
      <c r="B81" s="461" t="s">
        <v>255</v>
      </c>
      <c r="C81" s="463" t="s">
        <v>192</v>
      </c>
      <c r="D81" s="463"/>
      <c r="E81" s="463"/>
      <c r="F81" s="463"/>
      <c r="G81" s="463"/>
      <c r="H81" s="463"/>
      <c r="I81" s="463"/>
      <c r="J81" s="463"/>
      <c r="K81" s="463"/>
    </row>
    <row r="82" spans="1:11" ht="14.25" customHeight="1" x14ac:dyDescent="0.25">
      <c r="A82" s="460"/>
      <c r="B82" s="462"/>
      <c r="C82" s="464" t="s">
        <v>252</v>
      </c>
      <c r="D82" s="464"/>
      <c r="E82" s="464"/>
      <c r="F82" s="464"/>
      <c r="G82" s="464"/>
      <c r="H82" s="464"/>
      <c r="I82" s="464"/>
      <c r="J82" s="464"/>
      <c r="K82" s="464"/>
    </row>
    <row r="83" spans="1:11" ht="30.75" customHeight="1" x14ac:dyDescent="0.25">
      <c r="A83" s="439" t="s">
        <v>180</v>
      </c>
      <c r="B83" s="440"/>
      <c r="C83" s="241" t="s">
        <v>257</v>
      </c>
      <c r="D83" s="242"/>
      <c r="E83" s="242"/>
      <c r="F83" s="242"/>
      <c r="G83" s="243">
        <v>30</v>
      </c>
      <c r="H83" s="243"/>
      <c r="I83" s="243"/>
      <c r="J83" s="243"/>
      <c r="K83" s="244"/>
    </row>
    <row r="84" spans="1:11" ht="39.75" customHeight="1" x14ac:dyDescent="0.25">
      <c r="A84" s="439" t="s">
        <v>183</v>
      </c>
      <c r="B84" s="440"/>
      <c r="C84" s="186" t="s">
        <v>254</v>
      </c>
      <c r="D84" s="177"/>
      <c r="E84" s="177"/>
      <c r="F84" s="177"/>
      <c r="G84" s="177"/>
      <c r="H84" s="177"/>
      <c r="I84" s="177"/>
      <c r="J84" s="177"/>
      <c r="K84" s="173"/>
    </row>
    <row r="85" spans="1:11" ht="39.75" customHeight="1" x14ac:dyDescent="0.25">
      <c r="A85" s="439" t="s">
        <v>213</v>
      </c>
      <c r="B85" s="441"/>
      <c r="C85" s="441"/>
      <c r="D85" s="171" t="s">
        <v>184</v>
      </c>
      <c r="E85" s="171" t="s">
        <v>184</v>
      </c>
      <c r="F85" s="171" t="s">
        <v>184</v>
      </c>
      <c r="G85" s="171" t="s">
        <v>184</v>
      </c>
      <c r="H85" s="238">
        <v>222620</v>
      </c>
      <c r="I85" s="238">
        <v>222620</v>
      </c>
      <c r="J85" s="238">
        <v>222620</v>
      </c>
      <c r="K85" s="238">
        <v>222620</v>
      </c>
    </row>
    <row r="86" spans="1:11" x14ac:dyDescent="0.25">
      <c r="A86" s="442" t="s">
        <v>214</v>
      </c>
      <c r="B86" s="443"/>
      <c r="C86" s="443"/>
      <c r="D86" s="179"/>
      <c r="E86" s="179"/>
      <c r="F86" s="179"/>
      <c r="G86" s="172"/>
      <c r="H86" s="172"/>
      <c r="I86" s="172"/>
      <c r="J86" s="172"/>
      <c r="K86" s="173"/>
    </row>
    <row r="87" spans="1:11" ht="43.5" customHeight="1" x14ac:dyDescent="0.25">
      <c r="A87" s="439" t="s">
        <v>215</v>
      </c>
      <c r="B87" s="441"/>
      <c r="C87" s="441"/>
      <c r="D87" s="177"/>
      <c r="E87" s="177"/>
      <c r="F87" s="177"/>
      <c r="G87" s="172"/>
      <c r="H87" s="172"/>
      <c r="I87" s="172"/>
      <c r="J87" s="172"/>
      <c r="K87" s="178"/>
    </row>
    <row r="88" spans="1:11" ht="31.5" customHeight="1" x14ac:dyDescent="0.25">
      <c r="A88" s="421" t="s">
        <v>187</v>
      </c>
      <c r="B88" s="422"/>
      <c r="C88" s="422"/>
      <c r="D88" s="422"/>
      <c r="E88" s="422"/>
      <c r="F88" s="422"/>
      <c r="G88" s="422"/>
      <c r="H88" s="422"/>
      <c r="I88" s="422"/>
      <c r="J88" s="422"/>
      <c r="K88" s="423"/>
    </row>
    <row r="89" spans="1:11" ht="28.5" customHeight="1" x14ac:dyDescent="0.25">
      <c r="A89" s="421" t="s">
        <v>189</v>
      </c>
      <c r="B89" s="422"/>
      <c r="C89" s="422"/>
      <c r="D89" s="422"/>
      <c r="E89" s="422"/>
      <c r="F89" s="422"/>
      <c r="G89" s="422"/>
      <c r="H89" s="422"/>
      <c r="I89" s="422"/>
      <c r="J89" s="422"/>
      <c r="K89" s="423"/>
    </row>
    <row r="90" spans="1:11" s="126" customFormat="1" ht="21.75" customHeight="1" x14ac:dyDescent="0.25">
      <c r="A90" s="436" t="s">
        <v>186</v>
      </c>
      <c r="B90" s="437"/>
      <c r="C90" s="437"/>
      <c r="D90" s="437"/>
      <c r="E90" s="437"/>
      <c r="F90" s="437"/>
      <c r="G90" s="437"/>
      <c r="H90" s="437"/>
      <c r="I90" s="437"/>
      <c r="J90" s="437"/>
      <c r="K90" s="438"/>
    </row>
    <row r="91" spans="1:11" s="126" customFormat="1" ht="34.5" customHeight="1" x14ac:dyDescent="0.25">
      <c r="A91" s="421" t="s">
        <v>190</v>
      </c>
      <c r="B91" s="422"/>
      <c r="C91" s="422"/>
      <c r="D91" s="422"/>
      <c r="E91" s="422"/>
      <c r="F91" s="422"/>
      <c r="G91" s="422"/>
      <c r="H91" s="422"/>
      <c r="I91" s="422"/>
      <c r="J91" s="422"/>
      <c r="K91" s="423"/>
    </row>
  </sheetData>
  <mergeCells count="89">
    <mergeCell ref="A5:K5"/>
    <mergeCell ref="A7:C9"/>
    <mergeCell ref="A26:K26"/>
    <mergeCell ref="C28:G28"/>
    <mergeCell ref="C30:G30"/>
    <mergeCell ref="A55:B55"/>
    <mergeCell ref="A44:K44"/>
    <mergeCell ref="A45:K45"/>
    <mergeCell ref="A46:K46"/>
    <mergeCell ref="A47:B49"/>
    <mergeCell ref="C47:K47"/>
    <mergeCell ref="C48:K48"/>
    <mergeCell ref="C49:K49"/>
    <mergeCell ref="A62:K62"/>
    <mergeCell ref="A63:K63"/>
    <mergeCell ref="D8:G8"/>
    <mergeCell ref="D7:K7"/>
    <mergeCell ref="H8:K8"/>
    <mergeCell ref="A56:B56"/>
    <mergeCell ref="A57:C57"/>
    <mergeCell ref="A58:C58"/>
    <mergeCell ref="A59:C59"/>
    <mergeCell ref="A60:K60"/>
    <mergeCell ref="A61:K61"/>
    <mergeCell ref="A50:A51"/>
    <mergeCell ref="B50:B51"/>
    <mergeCell ref="C50:K50"/>
    <mergeCell ref="C51:K51"/>
    <mergeCell ref="A52:B52"/>
    <mergeCell ref="A69:B69"/>
    <mergeCell ref="A70:B70"/>
    <mergeCell ref="A71:C71"/>
    <mergeCell ref="A72:C72"/>
    <mergeCell ref="A64:B66"/>
    <mergeCell ref="C64:K64"/>
    <mergeCell ref="C65:K65"/>
    <mergeCell ref="C66:K66"/>
    <mergeCell ref="A67:A68"/>
    <mergeCell ref="B67:B68"/>
    <mergeCell ref="C67:K67"/>
    <mergeCell ref="C68:K68"/>
    <mergeCell ref="A73:C73"/>
    <mergeCell ref="A74:K74"/>
    <mergeCell ref="A75:K75"/>
    <mergeCell ref="A76:K76"/>
    <mergeCell ref="A77:K77"/>
    <mergeCell ref="A78:B80"/>
    <mergeCell ref="C78:K78"/>
    <mergeCell ref="C79:K79"/>
    <mergeCell ref="C80:K80"/>
    <mergeCell ref="A81:A82"/>
    <mergeCell ref="B81:B82"/>
    <mergeCell ref="C81:K81"/>
    <mergeCell ref="C82:K82"/>
    <mergeCell ref="A88:K88"/>
    <mergeCell ref="A89:K89"/>
    <mergeCell ref="A90:K90"/>
    <mergeCell ref="A91:K91"/>
    <mergeCell ref="A83:B83"/>
    <mergeCell ref="A84:B84"/>
    <mergeCell ref="A85:C85"/>
    <mergeCell ref="A86:C86"/>
    <mergeCell ref="A87:C87"/>
    <mergeCell ref="A10:E10"/>
    <mergeCell ref="A27:B28"/>
    <mergeCell ref="A29:A30"/>
    <mergeCell ref="B29:B30"/>
    <mergeCell ref="A11:E11"/>
    <mergeCell ref="A12:B13"/>
    <mergeCell ref="C13:E13"/>
    <mergeCell ref="A24:E24"/>
    <mergeCell ref="A22:E22"/>
    <mergeCell ref="A23:E23"/>
    <mergeCell ref="A36:B36"/>
    <mergeCell ref="A31:B31"/>
    <mergeCell ref="A25:E25"/>
    <mergeCell ref="A42:C42"/>
    <mergeCell ref="A41:C41"/>
    <mergeCell ref="A40:C40"/>
    <mergeCell ref="A43:K43"/>
    <mergeCell ref="A21:E21"/>
    <mergeCell ref="A14:A15"/>
    <mergeCell ref="B14:B15"/>
    <mergeCell ref="C15:E15"/>
    <mergeCell ref="A16:B16"/>
    <mergeCell ref="A17:B17"/>
    <mergeCell ref="A18:B18"/>
    <mergeCell ref="A19:C19"/>
    <mergeCell ref="A20:E20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11" zoomScale="91" zoomScaleNormal="100" zoomScaleSheetLayoutView="91" workbookViewId="0">
      <selection activeCell="D18" sqref="D18"/>
    </sheetView>
  </sheetViews>
  <sheetFormatPr defaultRowHeight="15" x14ac:dyDescent="0.25"/>
  <cols>
    <col min="1" max="1" width="8.42578125" style="158" customWidth="1"/>
    <col min="2" max="2" width="11.28515625" style="158" customWidth="1"/>
    <col min="3" max="3" width="13.7109375" style="158" customWidth="1"/>
    <col min="4" max="4" width="45.7109375" style="158" customWidth="1"/>
    <col min="5" max="5" width="26.85546875" style="158" customWidth="1"/>
    <col min="6" max="24" width="0" style="132" hidden="1" customWidth="1"/>
    <col min="25" max="237" width="9.140625" style="132"/>
    <col min="238" max="238" width="8.42578125" style="132" customWidth="1"/>
    <col min="239" max="239" width="11.28515625" style="132" customWidth="1"/>
    <col min="240" max="240" width="16.28515625" style="132" bestFit="1" customWidth="1"/>
    <col min="241" max="241" width="97.42578125" style="132" customWidth="1"/>
    <col min="242" max="242" width="26.85546875" style="132" customWidth="1"/>
    <col min="243" max="261" width="0" style="132" hidden="1" customWidth="1"/>
    <col min="262" max="493" width="9.140625" style="132"/>
    <col min="494" max="494" width="8.42578125" style="132" customWidth="1"/>
    <col min="495" max="495" width="11.28515625" style="132" customWidth="1"/>
    <col min="496" max="496" width="16.28515625" style="132" bestFit="1" customWidth="1"/>
    <col min="497" max="497" width="97.42578125" style="132" customWidth="1"/>
    <col min="498" max="498" width="26.85546875" style="132" customWidth="1"/>
    <col min="499" max="517" width="0" style="132" hidden="1" customWidth="1"/>
    <col min="518" max="749" width="9.140625" style="132"/>
    <col min="750" max="750" width="8.42578125" style="132" customWidth="1"/>
    <col min="751" max="751" width="11.28515625" style="132" customWidth="1"/>
    <col min="752" max="752" width="16.28515625" style="132" bestFit="1" customWidth="1"/>
    <col min="753" max="753" width="97.42578125" style="132" customWidth="1"/>
    <col min="754" max="754" width="26.85546875" style="132" customWidth="1"/>
    <col min="755" max="773" width="0" style="132" hidden="1" customWidth="1"/>
    <col min="774" max="1005" width="9.140625" style="132"/>
    <col min="1006" max="1006" width="8.42578125" style="132" customWidth="1"/>
    <col min="1007" max="1007" width="11.28515625" style="132" customWidth="1"/>
    <col min="1008" max="1008" width="16.28515625" style="132" bestFit="1" customWidth="1"/>
    <col min="1009" max="1009" width="97.42578125" style="132" customWidth="1"/>
    <col min="1010" max="1010" width="26.85546875" style="132" customWidth="1"/>
    <col min="1011" max="1029" width="0" style="132" hidden="1" customWidth="1"/>
    <col min="1030" max="1261" width="9.140625" style="132"/>
    <col min="1262" max="1262" width="8.42578125" style="132" customWidth="1"/>
    <col min="1263" max="1263" width="11.28515625" style="132" customWidth="1"/>
    <col min="1264" max="1264" width="16.28515625" style="132" bestFit="1" customWidth="1"/>
    <col min="1265" max="1265" width="97.42578125" style="132" customWidth="1"/>
    <col min="1266" max="1266" width="26.85546875" style="132" customWidth="1"/>
    <col min="1267" max="1285" width="0" style="132" hidden="1" customWidth="1"/>
    <col min="1286" max="1517" width="9.140625" style="132"/>
    <col min="1518" max="1518" width="8.42578125" style="132" customWidth="1"/>
    <col min="1519" max="1519" width="11.28515625" style="132" customWidth="1"/>
    <col min="1520" max="1520" width="16.28515625" style="132" bestFit="1" customWidth="1"/>
    <col min="1521" max="1521" width="97.42578125" style="132" customWidth="1"/>
    <col min="1522" max="1522" width="26.85546875" style="132" customWidth="1"/>
    <col min="1523" max="1541" width="0" style="132" hidden="1" customWidth="1"/>
    <col min="1542" max="1773" width="9.140625" style="132"/>
    <col min="1774" max="1774" width="8.42578125" style="132" customWidth="1"/>
    <col min="1775" max="1775" width="11.28515625" style="132" customWidth="1"/>
    <col min="1776" max="1776" width="16.28515625" style="132" bestFit="1" customWidth="1"/>
    <col min="1777" max="1777" width="97.42578125" style="132" customWidth="1"/>
    <col min="1778" max="1778" width="26.85546875" style="132" customWidth="1"/>
    <col min="1779" max="1797" width="0" style="132" hidden="1" customWidth="1"/>
    <col min="1798" max="2029" width="9.140625" style="132"/>
    <col min="2030" max="2030" width="8.42578125" style="132" customWidth="1"/>
    <col min="2031" max="2031" width="11.28515625" style="132" customWidth="1"/>
    <col min="2032" max="2032" width="16.28515625" style="132" bestFit="1" customWidth="1"/>
    <col min="2033" max="2033" width="97.42578125" style="132" customWidth="1"/>
    <col min="2034" max="2034" width="26.85546875" style="132" customWidth="1"/>
    <col min="2035" max="2053" width="0" style="132" hidden="1" customWidth="1"/>
    <col min="2054" max="2285" width="9.140625" style="132"/>
    <col min="2286" max="2286" width="8.42578125" style="132" customWidth="1"/>
    <col min="2287" max="2287" width="11.28515625" style="132" customWidth="1"/>
    <col min="2288" max="2288" width="16.28515625" style="132" bestFit="1" customWidth="1"/>
    <col min="2289" max="2289" width="97.42578125" style="132" customWidth="1"/>
    <col min="2290" max="2290" width="26.85546875" style="132" customWidth="1"/>
    <col min="2291" max="2309" width="0" style="132" hidden="1" customWidth="1"/>
    <col min="2310" max="2541" width="9.140625" style="132"/>
    <col min="2542" max="2542" width="8.42578125" style="132" customWidth="1"/>
    <col min="2543" max="2543" width="11.28515625" style="132" customWidth="1"/>
    <col min="2544" max="2544" width="16.28515625" style="132" bestFit="1" customWidth="1"/>
    <col min="2545" max="2545" width="97.42578125" style="132" customWidth="1"/>
    <col min="2546" max="2546" width="26.85546875" style="132" customWidth="1"/>
    <col min="2547" max="2565" width="0" style="132" hidden="1" customWidth="1"/>
    <col min="2566" max="2797" width="9.140625" style="132"/>
    <col min="2798" max="2798" width="8.42578125" style="132" customWidth="1"/>
    <col min="2799" max="2799" width="11.28515625" style="132" customWidth="1"/>
    <col min="2800" max="2800" width="16.28515625" style="132" bestFit="1" customWidth="1"/>
    <col min="2801" max="2801" width="97.42578125" style="132" customWidth="1"/>
    <col min="2802" max="2802" width="26.85546875" style="132" customWidth="1"/>
    <col min="2803" max="2821" width="0" style="132" hidden="1" customWidth="1"/>
    <col min="2822" max="3053" width="9.140625" style="132"/>
    <col min="3054" max="3054" width="8.42578125" style="132" customWidth="1"/>
    <col min="3055" max="3055" width="11.28515625" style="132" customWidth="1"/>
    <col min="3056" max="3056" width="16.28515625" style="132" bestFit="1" customWidth="1"/>
    <col min="3057" max="3057" width="97.42578125" style="132" customWidth="1"/>
    <col min="3058" max="3058" width="26.85546875" style="132" customWidth="1"/>
    <col min="3059" max="3077" width="0" style="132" hidden="1" customWidth="1"/>
    <col min="3078" max="3309" width="9.140625" style="132"/>
    <col min="3310" max="3310" width="8.42578125" style="132" customWidth="1"/>
    <col min="3311" max="3311" width="11.28515625" style="132" customWidth="1"/>
    <col min="3312" max="3312" width="16.28515625" style="132" bestFit="1" customWidth="1"/>
    <col min="3313" max="3313" width="97.42578125" style="132" customWidth="1"/>
    <col min="3314" max="3314" width="26.85546875" style="132" customWidth="1"/>
    <col min="3315" max="3333" width="0" style="132" hidden="1" customWidth="1"/>
    <col min="3334" max="3565" width="9.140625" style="132"/>
    <col min="3566" max="3566" width="8.42578125" style="132" customWidth="1"/>
    <col min="3567" max="3567" width="11.28515625" style="132" customWidth="1"/>
    <col min="3568" max="3568" width="16.28515625" style="132" bestFit="1" customWidth="1"/>
    <col min="3569" max="3569" width="97.42578125" style="132" customWidth="1"/>
    <col min="3570" max="3570" width="26.85546875" style="132" customWidth="1"/>
    <col min="3571" max="3589" width="0" style="132" hidden="1" customWidth="1"/>
    <col min="3590" max="3821" width="9.140625" style="132"/>
    <col min="3822" max="3822" width="8.42578125" style="132" customWidth="1"/>
    <col min="3823" max="3823" width="11.28515625" style="132" customWidth="1"/>
    <col min="3824" max="3824" width="16.28515625" style="132" bestFit="1" customWidth="1"/>
    <col min="3825" max="3825" width="97.42578125" style="132" customWidth="1"/>
    <col min="3826" max="3826" width="26.85546875" style="132" customWidth="1"/>
    <col min="3827" max="3845" width="0" style="132" hidden="1" customWidth="1"/>
    <col min="3846" max="4077" width="9.140625" style="132"/>
    <col min="4078" max="4078" width="8.42578125" style="132" customWidth="1"/>
    <col min="4079" max="4079" width="11.28515625" style="132" customWidth="1"/>
    <col min="4080" max="4080" width="16.28515625" style="132" bestFit="1" customWidth="1"/>
    <col min="4081" max="4081" width="97.42578125" style="132" customWidth="1"/>
    <col min="4082" max="4082" width="26.85546875" style="132" customWidth="1"/>
    <col min="4083" max="4101" width="0" style="132" hidden="1" customWidth="1"/>
    <col min="4102" max="4333" width="9.140625" style="132"/>
    <col min="4334" max="4334" width="8.42578125" style="132" customWidth="1"/>
    <col min="4335" max="4335" width="11.28515625" style="132" customWidth="1"/>
    <col min="4336" max="4336" width="16.28515625" style="132" bestFit="1" customWidth="1"/>
    <col min="4337" max="4337" width="97.42578125" style="132" customWidth="1"/>
    <col min="4338" max="4338" width="26.85546875" style="132" customWidth="1"/>
    <col min="4339" max="4357" width="0" style="132" hidden="1" customWidth="1"/>
    <col min="4358" max="4589" width="9.140625" style="132"/>
    <col min="4590" max="4590" width="8.42578125" style="132" customWidth="1"/>
    <col min="4591" max="4591" width="11.28515625" style="132" customWidth="1"/>
    <col min="4592" max="4592" width="16.28515625" style="132" bestFit="1" customWidth="1"/>
    <col min="4593" max="4593" width="97.42578125" style="132" customWidth="1"/>
    <col min="4594" max="4594" width="26.85546875" style="132" customWidth="1"/>
    <col min="4595" max="4613" width="0" style="132" hidden="1" customWidth="1"/>
    <col min="4614" max="4845" width="9.140625" style="132"/>
    <col min="4846" max="4846" width="8.42578125" style="132" customWidth="1"/>
    <col min="4847" max="4847" width="11.28515625" style="132" customWidth="1"/>
    <col min="4848" max="4848" width="16.28515625" style="132" bestFit="1" customWidth="1"/>
    <col min="4849" max="4849" width="97.42578125" style="132" customWidth="1"/>
    <col min="4850" max="4850" width="26.85546875" style="132" customWidth="1"/>
    <col min="4851" max="4869" width="0" style="132" hidden="1" customWidth="1"/>
    <col min="4870" max="5101" width="9.140625" style="132"/>
    <col min="5102" max="5102" width="8.42578125" style="132" customWidth="1"/>
    <col min="5103" max="5103" width="11.28515625" style="132" customWidth="1"/>
    <col min="5104" max="5104" width="16.28515625" style="132" bestFit="1" customWidth="1"/>
    <col min="5105" max="5105" width="97.42578125" style="132" customWidth="1"/>
    <col min="5106" max="5106" width="26.85546875" style="132" customWidth="1"/>
    <col min="5107" max="5125" width="0" style="132" hidden="1" customWidth="1"/>
    <col min="5126" max="5357" width="9.140625" style="132"/>
    <col min="5358" max="5358" width="8.42578125" style="132" customWidth="1"/>
    <col min="5359" max="5359" width="11.28515625" style="132" customWidth="1"/>
    <col min="5360" max="5360" width="16.28515625" style="132" bestFit="1" customWidth="1"/>
    <col min="5361" max="5361" width="97.42578125" style="132" customWidth="1"/>
    <col min="5362" max="5362" width="26.85546875" style="132" customWidth="1"/>
    <col min="5363" max="5381" width="0" style="132" hidden="1" customWidth="1"/>
    <col min="5382" max="5613" width="9.140625" style="132"/>
    <col min="5614" max="5614" width="8.42578125" style="132" customWidth="1"/>
    <col min="5615" max="5615" width="11.28515625" style="132" customWidth="1"/>
    <col min="5616" max="5616" width="16.28515625" style="132" bestFit="1" customWidth="1"/>
    <col min="5617" max="5617" width="97.42578125" style="132" customWidth="1"/>
    <col min="5618" max="5618" width="26.85546875" style="132" customWidth="1"/>
    <col min="5619" max="5637" width="0" style="132" hidden="1" customWidth="1"/>
    <col min="5638" max="5869" width="9.140625" style="132"/>
    <col min="5870" max="5870" width="8.42578125" style="132" customWidth="1"/>
    <col min="5871" max="5871" width="11.28515625" style="132" customWidth="1"/>
    <col min="5872" max="5872" width="16.28515625" style="132" bestFit="1" customWidth="1"/>
    <col min="5873" max="5873" width="97.42578125" style="132" customWidth="1"/>
    <col min="5874" max="5874" width="26.85546875" style="132" customWidth="1"/>
    <col min="5875" max="5893" width="0" style="132" hidden="1" customWidth="1"/>
    <col min="5894" max="6125" width="9.140625" style="132"/>
    <col min="6126" max="6126" width="8.42578125" style="132" customWidth="1"/>
    <col min="6127" max="6127" width="11.28515625" style="132" customWidth="1"/>
    <col min="6128" max="6128" width="16.28515625" style="132" bestFit="1" customWidth="1"/>
    <col min="6129" max="6129" width="97.42578125" style="132" customWidth="1"/>
    <col min="6130" max="6130" width="26.85546875" style="132" customWidth="1"/>
    <col min="6131" max="6149" width="0" style="132" hidden="1" customWidth="1"/>
    <col min="6150" max="6381" width="9.140625" style="132"/>
    <col min="6382" max="6382" width="8.42578125" style="132" customWidth="1"/>
    <col min="6383" max="6383" width="11.28515625" style="132" customWidth="1"/>
    <col min="6384" max="6384" width="16.28515625" style="132" bestFit="1" customWidth="1"/>
    <col min="6385" max="6385" width="97.42578125" style="132" customWidth="1"/>
    <col min="6386" max="6386" width="26.85546875" style="132" customWidth="1"/>
    <col min="6387" max="6405" width="0" style="132" hidden="1" customWidth="1"/>
    <col min="6406" max="6637" width="9.140625" style="132"/>
    <col min="6638" max="6638" width="8.42578125" style="132" customWidth="1"/>
    <col min="6639" max="6639" width="11.28515625" style="132" customWidth="1"/>
    <col min="6640" max="6640" width="16.28515625" style="132" bestFit="1" customWidth="1"/>
    <col min="6641" max="6641" width="97.42578125" style="132" customWidth="1"/>
    <col min="6642" max="6642" width="26.85546875" style="132" customWidth="1"/>
    <col min="6643" max="6661" width="0" style="132" hidden="1" customWidth="1"/>
    <col min="6662" max="6893" width="9.140625" style="132"/>
    <col min="6894" max="6894" width="8.42578125" style="132" customWidth="1"/>
    <col min="6895" max="6895" width="11.28515625" style="132" customWidth="1"/>
    <col min="6896" max="6896" width="16.28515625" style="132" bestFit="1" customWidth="1"/>
    <col min="6897" max="6897" width="97.42578125" style="132" customWidth="1"/>
    <col min="6898" max="6898" width="26.85546875" style="132" customWidth="1"/>
    <col min="6899" max="6917" width="0" style="132" hidden="1" customWidth="1"/>
    <col min="6918" max="7149" width="9.140625" style="132"/>
    <col min="7150" max="7150" width="8.42578125" style="132" customWidth="1"/>
    <col min="7151" max="7151" width="11.28515625" style="132" customWidth="1"/>
    <col min="7152" max="7152" width="16.28515625" style="132" bestFit="1" customWidth="1"/>
    <col min="7153" max="7153" width="97.42578125" style="132" customWidth="1"/>
    <col min="7154" max="7154" width="26.85546875" style="132" customWidth="1"/>
    <col min="7155" max="7173" width="0" style="132" hidden="1" customWidth="1"/>
    <col min="7174" max="7405" width="9.140625" style="132"/>
    <col min="7406" max="7406" width="8.42578125" style="132" customWidth="1"/>
    <col min="7407" max="7407" width="11.28515625" style="132" customWidth="1"/>
    <col min="7408" max="7408" width="16.28515625" style="132" bestFit="1" customWidth="1"/>
    <col min="7409" max="7409" width="97.42578125" style="132" customWidth="1"/>
    <col min="7410" max="7410" width="26.85546875" style="132" customWidth="1"/>
    <col min="7411" max="7429" width="0" style="132" hidden="1" customWidth="1"/>
    <col min="7430" max="7661" width="9.140625" style="132"/>
    <col min="7662" max="7662" width="8.42578125" style="132" customWidth="1"/>
    <col min="7663" max="7663" width="11.28515625" style="132" customWidth="1"/>
    <col min="7664" max="7664" width="16.28515625" style="132" bestFit="1" customWidth="1"/>
    <col min="7665" max="7665" width="97.42578125" style="132" customWidth="1"/>
    <col min="7666" max="7666" width="26.85546875" style="132" customWidth="1"/>
    <col min="7667" max="7685" width="0" style="132" hidden="1" customWidth="1"/>
    <col min="7686" max="7917" width="9.140625" style="132"/>
    <col min="7918" max="7918" width="8.42578125" style="132" customWidth="1"/>
    <col min="7919" max="7919" width="11.28515625" style="132" customWidth="1"/>
    <col min="7920" max="7920" width="16.28515625" style="132" bestFit="1" customWidth="1"/>
    <col min="7921" max="7921" width="97.42578125" style="132" customWidth="1"/>
    <col min="7922" max="7922" width="26.85546875" style="132" customWidth="1"/>
    <col min="7923" max="7941" width="0" style="132" hidden="1" customWidth="1"/>
    <col min="7942" max="8173" width="9.140625" style="132"/>
    <col min="8174" max="8174" width="8.42578125" style="132" customWidth="1"/>
    <col min="8175" max="8175" width="11.28515625" style="132" customWidth="1"/>
    <col min="8176" max="8176" width="16.28515625" style="132" bestFit="1" customWidth="1"/>
    <col min="8177" max="8177" width="97.42578125" style="132" customWidth="1"/>
    <col min="8178" max="8178" width="26.85546875" style="132" customWidth="1"/>
    <col min="8179" max="8197" width="0" style="132" hidden="1" customWidth="1"/>
    <col min="8198" max="8429" width="9.140625" style="132"/>
    <col min="8430" max="8430" width="8.42578125" style="132" customWidth="1"/>
    <col min="8431" max="8431" width="11.28515625" style="132" customWidth="1"/>
    <col min="8432" max="8432" width="16.28515625" style="132" bestFit="1" customWidth="1"/>
    <col min="8433" max="8433" width="97.42578125" style="132" customWidth="1"/>
    <col min="8434" max="8434" width="26.85546875" style="132" customWidth="1"/>
    <col min="8435" max="8453" width="0" style="132" hidden="1" customWidth="1"/>
    <col min="8454" max="8685" width="9.140625" style="132"/>
    <col min="8686" max="8686" width="8.42578125" style="132" customWidth="1"/>
    <col min="8687" max="8687" width="11.28515625" style="132" customWidth="1"/>
    <col min="8688" max="8688" width="16.28515625" style="132" bestFit="1" customWidth="1"/>
    <col min="8689" max="8689" width="97.42578125" style="132" customWidth="1"/>
    <col min="8690" max="8690" width="26.85546875" style="132" customWidth="1"/>
    <col min="8691" max="8709" width="0" style="132" hidden="1" customWidth="1"/>
    <col min="8710" max="8941" width="9.140625" style="132"/>
    <col min="8942" max="8942" width="8.42578125" style="132" customWidth="1"/>
    <col min="8943" max="8943" width="11.28515625" style="132" customWidth="1"/>
    <col min="8944" max="8944" width="16.28515625" style="132" bestFit="1" customWidth="1"/>
    <col min="8945" max="8945" width="97.42578125" style="132" customWidth="1"/>
    <col min="8946" max="8946" width="26.85546875" style="132" customWidth="1"/>
    <col min="8947" max="8965" width="0" style="132" hidden="1" customWidth="1"/>
    <col min="8966" max="9197" width="9.140625" style="132"/>
    <col min="9198" max="9198" width="8.42578125" style="132" customWidth="1"/>
    <col min="9199" max="9199" width="11.28515625" style="132" customWidth="1"/>
    <col min="9200" max="9200" width="16.28515625" style="132" bestFit="1" customWidth="1"/>
    <col min="9201" max="9201" width="97.42578125" style="132" customWidth="1"/>
    <col min="9202" max="9202" width="26.85546875" style="132" customWidth="1"/>
    <col min="9203" max="9221" width="0" style="132" hidden="1" customWidth="1"/>
    <col min="9222" max="9453" width="9.140625" style="132"/>
    <col min="9454" max="9454" width="8.42578125" style="132" customWidth="1"/>
    <col min="9455" max="9455" width="11.28515625" style="132" customWidth="1"/>
    <col min="9456" max="9456" width="16.28515625" style="132" bestFit="1" customWidth="1"/>
    <col min="9457" max="9457" width="97.42578125" style="132" customWidth="1"/>
    <col min="9458" max="9458" width="26.85546875" style="132" customWidth="1"/>
    <col min="9459" max="9477" width="0" style="132" hidden="1" customWidth="1"/>
    <col min="9478" max="9709" width="9.140625" style="132"/>
    <col min="9710" max="9710" width="8.42578125" style="132" customWidth="1"/>
    <col min="9711" max="9711" width="11.28515625" style="132" customWidth="1"/>
    <col min="9712" max="9712" width="16.28515625" style="132" bestFit="1" customWidth="1"/>
    <col min="9713" max="9713" width="97.42578125" style="132" customWidth="1"/>
    <col min="9714" max="9714" width="26.85546875" style="132" customWidth="1"/>
    <col min="9715" max="9733" width="0" style="132" hidden="1" customWidth="1"/>
    <col min="9734" max="9965" width="9.140625" style="132"/>
    <col min="9966" max="9966" width="8.42578125" style="132" customWidth="1"/>
    <col min="9967" max="9967" width="11.28515625" style="132" customWidth="1"/>
    <col min="9968" max="9968" width="16.28515625" style="132" bestFit="1" customWidth="1"/>
    <col min="9969" max="9969" width="97.42578125" style="132" customWidth="1"/>
    <col min="9970" max="9970" width="26.85546875" style="132" customWidth="1"/>
    <col min="9971" max="9989" width="0" style="132" hidden="1" customWidth="1"/>
    <col min="9990" max="10221" width="9.140625" style="132"/>
    <col min="10222" max="10222" width="8.42578125" style="132" customWidth="1"/>
    <col min="10223" max="10223" width="11.28515625" style="132" customWidth="1"/>
    <col min="10224" max="10224" width="16.28515625" style="132" bestFit="1" customWidth="1"/>
    <col min="10225" max="10225" width="97.42578125" style="132" customWidth="1"/>
    <col min="10226" max="10226" width="26.85546875" style="132" customWidth="1"/>
    <col min="10227" max="10245" width="0" style="132" hidden="1" customWidth="1"/>
    <col min="10246" max="10477" width="9.140625" style="132"/>
    <col min="10478" max="10478" width="8.42578125" style="132" customWidth="1"/>
    <col min="10479" max="10479" width="11.28515625" style="132" customWidth="1"/>
    <col min="10480" max="10480" width="16.28515625" style="132" bestFit="1" customWidth="1"/>
    <col min="10481" max="10481" width="97.42578125" style="132" customWidth="1"/>
    <col min="10482" max="10482" width="26.85546875" style="132" customWidth="1"/>
    <col min="10483" max="10501" width="0" style="132" hidden="1" customWidth="1"/>
    <col min="10502" max="10733" width="9.140625" style="132"/>
    <col min="10734" max="10734" width="8.42578125" style="132" customWidth="1"/>
    <col min="10735" max="10735" width="11.28515625" style="132" customWidth="1"/>
    <col min="10736" max="10736" width="16.28515625" style="132" bestFit="1" customWidth="1"/>
    <col min="10737" max="10737" width="97.42578125" style="132" customWidth="1"/>
    <col min="10738" max="10738" width="26.85546875" style="132" customWidth="1"/>
    <col min="10739" max="10757" width="0" style="132" hidden="1" customWidth="1"/>
    <col min="10758" max="10989" width="9.140625" style="132"/>
    <col min="10990" max="10990" width="8.42578125" style="132" customWidth="1"/>
    <col min="10991" max="10991" width="11.28515625" style="132" customWidth="1"/>
    <col min="10992" max="10992" width="16.28515625" style="132" bestFit="1" customWidth="1"/>
    <col min="10993" max="10993" width="97.42578125" style="132" customWidth="1"/>
    <col min="10994" max="10994" width="26.85546875" style="132" customWidth="1"/>
    <col min="10995" max="11013" width="0" style="132" hidden="1" customWidth="1"/>
    <col min="11014" max="11245" width="9.140625" style="132"/>
    <col min="11246" max="11246" width="8.42578125" style="132" customWidth="1"/>
    <col min="11247" max="11247" width="11.28515625" style="132" customWidth="1"/>
    <col min="11248" max="11248" width="16.28515625" style="132" bestFit="1" customWidth="1"/>
    <col min="11249" max="11249" width="97.42578125" style="132" customWidth="1"/>
    <col min="11250" max="11250" width="26.85546875" style="132" customWidth="1"/>
    <col min="11251" max="11269" width="0" style="132" hidden="1" customWidth="1"/>
    <col min="11270" max="11501" width="9.140625" style="132"/>
    <col min="11502" max="11502" width="8.42578125" style="132" customWidth="1"/>
    <col min="11503" max="11503" width="11.28515625" style="132" customWidth="1"/>
    <col min="11504" max="11504" width="16.28515625" style="132" bestFit="1" customWidth="1"/>
    <col min="11505" max="11505" width="97.42578125" style="132" customWidth="1"/>
    <col min="11506" max="11506" width="26.85546875" style="132" customWidth="1"/>
    <col min="11507" max="11525" width="0" style="132" hidden="1" customWidth="1"/>
    <col min="11526" max="11757" width="9.140625" style="132"/>
    <col min="11758" max="11758" width="8.42578125" style="132" customWidth="1"/>
    <col min="11759" max="11759" width="11.28515625" style="132" customWidth="1"/>
    <col min="11760" max="11760" width="16.28515625" style="132" bestFit="1" customWidth="1"/>
    <col min="11761" max="11761" width="97.42578125" style="132" customWidth="1"/>
    <col min="11762" max="11762" width="26.85546875" style="132" customWidth="1"/>
    <col min="11763" max="11781" width="0" style="132" hidden="1" customWidth="1"/>
    <col min="11782" max="12013" width="9.140625" style="132"/>
    <col min="12014" max="12014" width="8.42578125" style="132" customWidth="1"/>
    <col min="12015" max="12015" width="11.28515625" style="132" customWidth="1"/>
    <col min="12016" max="12016" width="16.28515625" style="132" bestFit="1" customWidth="1"/>
    <col min="12017" max="12017" width="97.42578125" style="132" customWidth="1"/>
    <col min="12018" max="12018" width="26.85546875" style="132" customWidth="1"/>
    <col min="12019" max="12037" width="0" style="132" hidden="1" customWidth="1"/>
    <col min="12038" max="12269" width="9.140625" style="132"/>
    <col min="12270" max="12270" width="8.42578125" style="132" customWidth="1"/>
    <col min="12271" max="12271" width="11.28515625" style="132" customWidth="1"/>
    <col min="12272" max="12272" width="16.28515625" style="132" bestFit="1" customWidth="1"/>
    <col min="12273" max="12273" width="97.42578125" style="132" customWidth="1"/>
    <col min="12274" max="12274" width="26.85546875" style="132" customWidth="1"/>
    <col min="12275" max="12293" width="0" style="132" hidden="1" customWidth="1"/>
    <col min="12294" max="12525" width="9.140625" style="132"/>
    <col min="12526" max="12526" width="8.42578125" style="132" customWidth="1"/>
    <col min="12527" max="12527" width="11.28515625" style="132" customWidth="1"/>
    <col min="12528" max="12528" width="16.28515625" style="132" bestFit="1" customWidth="1"/>
    <col min="12529" max="12529" width="97.42578125" style="132" customWidth="1"/>
    <col min="12530" max="12530" width="26.85546875" style="132" customWidth="1"/>
    <col min="12531" max="12549" width="0" style="132" hidden="1" customWidth="1"/>
    <col min="12550" max="12781" width="9.140625" style="132"/>
    <col min="12782" max="12782" width="8.42578125" style="132" customWidth="1"/>
    <col min="12783" max="12783" width="11.28515625" style="132" customWidth="1"/>
    <col min="12784" max="12784" width="16.28515625" style="132" bestFit="1" customWidth="1"/>
    <col min="12785" max="12785" width="97.42578125" style="132" customWidth="1"/>
    <col min="12786" max="12786" width="26.85546875" style="132" customWidth="1"/>
    <col min="12787" max="12805" width="0" style="132" hidden="1" customWidth="1"/>
    <col min="12806" max="13037" width="9.140625" style="132"/>
    <col min="13038" max="13038" width="8.42578125" style="132" customWidth="1"/>
    <col min="13039" max="13039" width="11.28515625" style="132" customWidth="1"/>
    <col min="13040" max="13040" width="16.28515625" style="132" bestFit="1" customWidth="1"/>
    <col min="13041" max="13041" width="97.42578125" style="132" customWidth="1"/>
    <col min="13042" max="13042" width="26.85546875" style="132" customWidth="1"/>
    <col min="13043" max="13061" width="0" style="132" hidden="1" customWidth="1"/>
    <col min="13062" max="13293" width="9.140625" style="132"/>
    <col min="13294" max="13294" width="8.42578125" style="132" customWidth="1"/>
    <col min="13295" max="13295" width="11.28515625" style="132" customWidth="1"/>
    <col min="13296" max="13296" width="16.28515625" style="132" bestFit="1" customWidth="1"/>
    <col min="13297" max="13297" width="97.42578125" style="132" customWidth="1"/>
    <col min="13298" max="13298" width="26.85546875" style="132" customWidth="1"/>
    <col min="13299" max="13317" width="0" style="132" hidden="1" customWidth="1"/>
    <col min="13318" max="13549" width="9.140625" style="132"/>
    <col min="13550" max="13550" width="8.42578125" style="132" customWidth="1"/>
    <col min="13551" max="13551" width="11.28515625" style="132" customWidth="1"/>
    <col min="13552" max="13552" width="16.28515625" style="132" bestFit="1" customWidth="1"/>
    <col min="13553" max="13553" width="97.42578125" style="132" customWidth="1"/>
    <col min="13554" max="13554" width="26.85546875" style="132" customWidth="1"/>
    <col min="13555" max="13573" width="0" style="132" hidden="1" customWidth="1"/>
    <col min="13574" max="13805" width="9.140625" style="132"/>
    <col min="13806" max="13806" width="8.42578125" style="132" customWidth="1"/>
    <col min="13807" max="13807" width="11.28515625" style="132" customWidth="1"/>
    <col min="13808" max="13808" width="16.28515625" style="132" bestFit="1" customWidth="1"/>
    <col min="13809" max="13809" width="97.42578125" style="132" customWidth="1"/>
    <col min="13810" max="13810" width="26.85546875" style="132" customWidth="1"/>
    <col min="13811" max="13829" width="0" style="132" hidden="1" customWidth="1"/>
    <col min="13830" max="14061" width="9.140625" style="132"/>
    <col min="14062" max="14062" width="8.42578125" style="132" customWidth="1"/>
    <col min="14063" max="14063" width="11.28515625" style="132" customWidth="1"/>
    <col min="14064" max="14064" width="16.28515625" style="132" bestFit="1" customWidth="1"/>
    <col min="14065" max="14065" width="97.42578125" style="132" customWidth="1"/>
    <col min="14066" max="14066" width="26.85546875" style="132" customWidth="1"/>
    <col min="14067" max="14085" width="0" style="132" hidden="1" customWidth="1"/>
    <col min="14086" max="14317" width="9.140625" style="132"/>
    <col min="14318" max="14318" width="8.42578125" style="132" customWidth="1"/>
    <col min="14319" max="14319" width="11.28515625" style="132" customWidth="1"/>
    <col min="14320" max="14320" width="16.28515625" style="132" bestFit="1" customWidth="1"/>
    <col min="14321" max="14321" width="97.42578125" style="132" customWidth="1"/>
    <col min="14322" max="14322" width="26.85546875" style="132" customWidth="1"/>
    <col min="14323" max="14341" width="0" style="132" hidden="1" customWidth="1"/>
    <col min="14342" max="14573" width="9.140625" style="132"/>
    <col min="14574" max="14574" width="8.42578125" style="132" customWidth="1"/>
    <col min="14575" max="14575" width="11.28515625" style="132" customWidth="1"/>
    <col min="14576" max="14576" width="16.28515625" style="132" bestFit="1" customWidth="1"/>
    <col min="14577" max="14577" width="97.42578125" style="132" customWidth="1"/>
    <col min="14578" max="14578" width="26.85546875" style="132" customWidth="1"/>
    <col min="14579" max="14597" width="0" style="132" hidden="1" customWidth="1"/>
    <col min="14598" max="14829" width="9.140625" style="132"/>
    <col min="14830" max="14830" width="8.42578125" style="132" customWidth="1"/>
    <col min="14831" max="14831" width="11.28515625" style="132" customWidth="1"/>
    <col min="14832" max="14832" width="16.28515625" style="132" bestFit="1" customWidth="1"/>
    <col min="14833" max="14833" width="97.42578125" style="132" customWidth="1"/>
    <col min="14834" max="14834" width="26.85546875" style="132" customWidth="1"/>
    <col min="14835" max="14853" width="0" style="132" hidden="1" customWidth="1"/>
    <col min="14854" max="15085" width="9.140625" style="132"/>
    <col min="15086" max="15086" width="8.42578125" style="132" customWidth="1"/>
    <col min="15087" max="15087" width="11.28515625" style="132" customWidth="1"/>
    <col min="15088" max="15088" width="16.28515625" style="132" bestFit="1" customWidth="1"/>
    <col min="15089" max="15089" width="97.42578125" style="132" customWidth="1"/>
    <col min="15090" max="15090" width="26.85546875" style="132" customWidth="1"/>
    <col min="15091" max="15109" width="0" style="132" hidden="1" customWidth="1"/>
    <col min="15110" max="15341" width="9.140625" style="132"/>
    <col min="15342" max="15342" width="8.42578125" style="132" customWidth="1"/>
    <col min="15343" max="15343" width="11.28515625" style="132" customWidth="1"/>
    <col min="15344" max="15344" width="16.28515625" style="132" bestFit="1" customWidth="1"/>
    <col min="15345" max="15345" width="97.42578125" style="132" customWidth="1"/>
    <col min="15346" max="15346" width="26.85546875" style="132" customWidth="1"/>
    <col min="15347" max="15365" width="0" style="132" hidden="1" customWidth="1"/>
    <col min="15366" max="15597" width="9.140625" style="132"/>
    <col min="15598" max="15598" width="8.42578125" style="132" customWidth="1"/>
    <col min="15599" max="15599" width="11.28515625" style="132" customWidth="1"/>
    <col min="15600" max="15600" width="16.28515625" style="132" bestFit="1" customWidth="1"/>
    <col min="15601" max="15601" width="97.42578125" style="132" customWidth="1"/>
    <col min="15602" max="15602" width="26.85546875" style="132" customWidth="1"/>
    <col min="15603" max="15621" width="0" style="132" hidden="1" customWidth="1"/>
    <col min="15622" max="15853" width="9.140625" style="132"/>
    <col min="15854" max="15854" width="8.42578125" style="132" customWidth="1"/>
    <col min="15855" max="15855" width="11.28515625" style="132" customWidth="1"/>
    <col min="15856" max="15856" width="16.28515625" style="132" bestFit="1" customWidth="1"/>
    <col min="15857" max="15857" width="97.42578125" style="132" customWidth="1"/>
    <col min="15858" max="15858" width="26.85546875" style="132" customWidth="1"/>
    <col min="15859" max="15877" width="0" style="132" hidden="1" customWidth="1"/>
    <col min="15878" max="16109" width="9.140625" style="132"/>
    <col min="16110" max="16110" width="8.42578125" style="132" customWidth="1"/>
    <col min="16111" max="16111" width="11.28515625" style="132" customWidth="1"/>
    <col min="16112" max="16112" width="16.28515625" style="132" bestFit="1" customWidth="1"/>
    <col min="16113" max="16113" width="97.42578125" style="132" customWidth="1"/>
    <col min="16114" max="16114" width="26.85546875" style="132" customWidth="1"/>
    <col min="16115" max="16133" width="0" style="132" hidden="1" customWidth="1"/>
    <col min="16134" max="16384" width="9.140625" style="132"/>
  </cols>
  <sheetData>
    <row r="1" spans="1:5" ht="20.25" customHeight="1" x14ac:dyDescent="0.25">
      <c r="A1" s="131"/>
      <c r="B1" s="131"/>
      <c r="C1" s="131"/>
      <c r="D1" s="518" t="s">
        <v>216</v>
      </c>
      <c r="E1" s="518"/>
    </row>
    <row r="2" spans="1:5" ht="18" customHeight="1" x14ac:dyDescent="0.25">
      <c r="A2" s="131"/>
      <c r="B2" s="131"/>
      <c r="C2" s="131"/>
      <c r="D2" s="518" t="s">
        <v>13</v>
      </c>
      <c r="E2" s="518"/>
    </row>
    <row r="3" spans="1:5" ht="19.5" customHeight="1" x14ac:dyDescent="0.25">
      <c r="A3" s="131"/>
      <c r="B3" s="131"/>
      <c r="C3" s="131"/>
      <c r="D3" s="518" t="s">
        <v>173</v>
      </c>
      <c r="E3" s="518"/>
    </row>
    <row r="4" spans="1:5" ht="59.25" customHeight="1" x14ac:dyDescent="0.25">
      <c r="A4" s="480" t="s">
        <v>258</v>
      </c>
      <c r="B4" s="480"/>
      <c r="C4" s="480"/>
      <c r="D4" s="480"/>
      <c r="E4" s="480"/>
    </row>
    <row r="5" spans="1:5" ht="24" customHeight="1" x14ac:dyDescent="0.25">
      <c r="A5" s="519" t="s">
        <v>170</v>
      </c>
      <c r="B5" s="519"/>
      <c r="C5" s="519"/>
      <c r="D5" s="519"/>
      <c r="E5" s="519"/>
    </row>
    <row r="6" spans="1:5" ht="15" customHeight="1" x14ac:dyDescent="0.25">
      <c r="A6" s="512" t="s">
        <v>217</v>
      </c>
      <c r="B6" s="512"/>
      <c r="C6" s="512"/>
      <c r="D6" s="512"/>
      <c r="E6" s="512"/>
    </row>
    <row r="7" spans="1:5" ht="72" customHeight="1" x14ac:dyDescent="0.25">
      <c r="A7" s="512" t="s">
        <v>218</v>
      </c>
      <c r="B7" s="512"/>
      <c r="C7" s="512"/>
      <c r="D7" s="512"/>
      <c r="E7" s="512"/>
    </row>
    <row r="8" spans="1:5" ht="17.25" x14ac:dyDescent="0.25">
      <c r="A8" s="133"/>
      <c r="B8" s="133"/>
      <c r="C8" s="133"/>
      <c r="D8" s="134"/>
      <c r="E8" s="134"/>
    </row>
    <row r="9" spans="1:5" s="136" customFormat="1" ht="102.75" customHeight="1" x14ac:dyDescent="0.25">
      <c r="A9" s="513" t="s">
        <v>177</v>
      </c>
      <c r="B9" s="513"/>
      <c r="C9" s="130" t="s">
        <v>219</v>
      </c>
      <c r="D9" s="514" t="s">
        <v>220</v>
      </c>
      <c r="E9" s="135" t="s">
        <v>6</v>
      </c>
    </row>
    <row r="10" spans="1:5" s="136" customFormat="1" ht="61.5" customHeight="1" x14ac:dyDescent="0.25">
      <c r="A10" s="137" t="s">
        <v>221</v>
      </c>
      <c r="B10" s="137" t="s">
        <v>222</v>
      </c>
      <c r="C10" s="130" t="s">
        <v>223</v>
      </c>
      <c r="D10" s="514"/>
      <c r="E10" s="135" t="s">
        <v>260</v>
      </c>
    </row>
    <row r="11" spans="1:5" s="129" customFormat="1" ht="16.5" x14ac:dyDescent="0.25">
      <c r="A11" s="293">
        <v>1001</v>
      </c>
      <c r="B11" s="293"/>
      <c r="C11" s="294"/>
      <c r="D11" s="295" t="s">
        <v>224</v>
      </c>
      <c r="E11" s="296"/>
    </row>
    <row r="12" spans="1:5" s="129" customFormat="1" ht="54" customHeight="1" x14ac:dyDescent="0.3">
      <c r="A12" s="515"/>
      <c r="B12" s="516"/>
      <c r="C12" s="516"/>
      <c r="D12" s="297" t="s">
        <v>271</v>
      </c>
      <c r="E12" s="517">
        <v>40000</v>
      </c>
    </row>
    <row r="13" spans="1:5" s="129" customFormat="1" ht="16.5" x14ac:dyDescent="0.3">
      <c r="A13" s="515"/>
      <c r="B13" s="516"/>
      <c r="C13" s="516"/>
      <c r="D13" s="298" t="s">
        <v>225</v>
      </c>
      <c r="E13" s="517"/>
    </row>
    <row r="14" spans="1:5" s="129" customFormat="1" ht="82.5" x14ac:dyDescent="0.3">
      <c r="A14" s="515"/>
      <c r="B14" s="516"/>
      <c r="C14" s="516"/>
      <c r="D14" s="297" t="s">
        <v>272</v>
      </c>
      <c r="E14" s="517"/>
    </row>
    <row r="15" spans="1:5" s="129" customFormat="1" ht="16.5" x14ac:dyDescent="0.3">
      <c r="A15" s="515"/>
      <c r="B15" s="516"/>
      <c r="C15" s="516"/>
      <c r="D15" s="298" t="s">
        <v>186</v>
      </c>
      <c r="E15" s="517"/>
    </row>
    <row r="16" spans="1:5" s="129" customFormat="1" ht="74.25" customHeight="1" x14ac:dyDescent="0.3">
      <c r="A16" s="515"/>
      <c r="B16" s="516"/>
      <c r="C16" s="516"/>
      <c r="D16" s="299" t="s">
        <v>273</v>
      </c>
      <c r="E16" s="517"/>
    </row>
    <row r="17" spans="1:5" s="129" customFormat="1" ht="16.5" x14ac:dyDescent="0.3">
      <c r="A17" s="515"/>
      <c r="B17" s="293"/>
      <c r="C17" s="294"/>
      <c r="D17" s="300" t="s">
        <v>274</v>
      </c>
      <c r="E17" s="296"/>
    </row>
    <row r="18" spans="1:5" s="129" customFormat="1" ht="66" x14ac:dyDescent="0.3">
      <c r="A18" s="515"/>
      <c r="B18" s="516" t="s">
        <v>275</v>
      </c>
      <c r="C18" s="516"/>
      <c r="D18" s="301" t="s">
        <v>276</v>
      </c>
      <c r="E18" s="517">
        <v>40000</v>
      </c>
    </row>
    <row r="19" spans="1:5" s="129" customFormat="1" ht="25.5" customHeight="1" x14ac:dyDescent="0.3">
      <c r="A19" s="515"/>
      <c r="B19" s="516"/>
      <c r="C19" s="516"/>
      <c r="D19" s="302" t="s">
        <v>277</v>
      </c>
      <c r="E19" s="517"/>
    </row>
    <row r="20" spans="1:5" s="129" customFormat="1" ht="58.5" customHeight="1" x14ac:dyDescent="0.3">
      <c r="A20" s="515"/>
      <c r="B20" s="516"/>
      <c r="C20" s="516"/>
      <c r="D20" s="303" t="s">
        <v>278</v>
      </c>
      <c r="E20" s="517"/>
    </row>
    <row r="21" spans="1:5" s="129" customFormat="1" ht="16.5" x14ac:dyDescent="0.3">
      <c r="A21" s="515"/>
      <c r="B21" s="516"/>
      <c r="C21" s="516"/>
      <c r="D21" s="302" t="s">
        <v>279</v>
      </c>
      <c r="E21" s="517"/>
    </row>
    <row r="22" spans="1:5" s="129" customFormat="1" ht="33.75" customHeight="1" x14ac:dyDescent="0.25">
      <c r="A22" s="515"/>
      <c r="B22" s="516"/>
      <c r="C22" s="516"/>
      <c r="D22" s="304" t="s">
        <v>280</v>
      </c>
      <c r="E22" s="517"/>
    </row>
    <row r="23" spans="1:5" ht="52.5" customHeight="1" x14ac:dyDescent="0.25">
      <c r="A23" s="138">
        <v>1049</v>
      </c>
      <c r="B23" s="138"/>
      <c r="C23" s="138"/>
      <c r="D23" s="138" t="s">
        <v>224</v>
      </c>
      <c r="E23" s="139"/>
    </row>
    <row r="24" spans="1:5" s="141" customFormat="1" ht="61.5" customHeight="1" x14ac:dyDescent="0.25">
      <c r="A24" s="506"/>
      <c r="B24" s="506"/>
      <c r="C24" s="506"/>
      <c r="D24" s="140" t="s">
        <v>228</v>
      </c>
      <c r="E24" s="509">
        <f>SUM(E30:E49)</f>
        <v>-40000</v>
      </c>
    </row>
    <row r="25" spans="1:5" s="141" customFormat="1" ht="16.5" x14ac:dyDescent="0.25">
      <c r="A25" s="507"/>
      <c r="B25" s="507"/>
      <c r="C25" s="507"/>
      <c r="D25" s="142" t="s">
        <v>225</v>
      </c>
      <c r="E25" s="510"/>
    </row>
    <row r="26" spans="1:5" s="141" customFormat="1" ht="25.5" customHeight="1" x14ac:dyDescent="0.25">
      <c r="A26" s="507"/>
      <c r="B26" s="507"/>
      <c r="C26" s="507"/>
      <c r="D26" s="143" t="s">
        <v>229</v>
      </c>
      <c r="E26" s="510"/>
    </row>
    <row r="27" spans="1:5" s="144" customFormat="1" ht="16.5" x14ac:dyDescent="0.25">
      <c r="A27" s="507"/>
      <c r="B27" s="507"/>
      <c r="C27" s="507"/>
      <c r="D27" s="142" t="s">
        <v>186</v>
      </c>
      <c r="E27" s="510"/>
    </row>
    <row r="28" spans="1:5" s="145" customFormat="1" ht="132" x14ac:dyDescent="0.25">
      <c r="A28" s="508"/>
      <c r="B28" s="508"/>
      <c r="C28" s="508"/>
      <c r="D28" s="143" t="s">
        <v>230</v>
      </c>
      <c r="E28" s="511"/>
    </row>
    <row r="29" spans="1:5" s="148" customFormat="1" ht="33" x14ac:dyDescent="0.25">
      <c r="A29" s="147"/>
      <c r="B29" s="146"/>
      <c r="C29" s="146"/>
      <c r="D29" s="146" t="s">
        <v>231</v>
      </c>
      <c r="E29" s="146"/>
    </row>
    <row r="30" spans="1:5" ht="41.25" customHeight="1" x14ac:dyDescent="0.25">
      <c r="A30" s="258"/>
      <c r="B30" s="497" t="s">
        <v>194</v>
      </c>
      <c r="C30" s="497"/>
      <c r="D30" s="55" t="s">
        <v>59</v>
      </c>
      <c r="E30" s="500">
        <v>-382982.5</v>
      </c>
    </row>
    <row r="31" spans="1:5" ht="16.5" x14ac:dyDescent="0.25">
      <c r="A31" s="258"/>
      <c r="B31" s="498"/>
      <c r="C31" s="498"/>
      <c r="D31" s="149" t="s">
        <v>226</v>
      </c>
      <c r="E31" s="501"/>
    </row>
    <row r="32" spans="1:5" ht="66" x14ac:dyDescent="0.25">
      <c r="A32" s="497"/>
      <c r="B32" s="498"/>
      <c r="C32" s="498"/>
      <c r="D32" s="150" t="s">
        <v>232</v>
      </c>
      <c r="E32" s="501"/>
    </row>
    <row r="33" spans="1:5" s="151" customFormat="1" ht="25.5" customHeight="1" x14ac:dyDescent="0.25">
      <c r="A33" s="498"/>
      <c r="B33" s="498"/>
      <c r="C33" s="498"/>
      <c r="D33" s="149" t="s">
        <v>227</v>
      </c>
      <c r="E33" s="501"/>
    </row>
    <row r="34" spans="1:5" s="152" customFormat="1" ht="40.5" customHeight="1" x14ac:dyDescent="0.25">
      <c r="A34" s="499"/>
      <c r="B34" s="499"/>
      <c r="C34" s="499"/>
      <c r="D34" s="150" t="s">
        <v>189</v>
      </c>
      <c r="E34" s="502"/>
    </row>
    <row r="35" spans="1:5" s="154" customFormat="1" ht="33" x14ac:dyDescent="0.25">
      <c r="A35" s="497"/>
      <c r="B35" s="497" t="s">
        <v>208</v>
      </c>
      <c r="C35" s="503"/>
      <c r="D35" s="153" t="s">
        <v>207</v>
      </c>
      <c r="E35" s="259">
        <v>342982.5</v>
      </c>
    </row>
    <row r="36" spans="1:5" s="154" customFormat="1" ht="16.5" x14ac:dyDescent="0.25">
      <c r="A36" s="498"/>
      <c r="B36" s="498"/>
      <c r="C36" s="504"/>
      <c r="D36" s="155" t="s">
        <v>226</v>
      </c>
      <c r="E36" s="260"/>
    </row>
    <row r="37" spans="1:5" s="156" customFormat="1" ht="33" x14ac:dyDescent="0.25">
      <c r="A37" s="498"/>
      <c r="B37" s="498"/>
      <c r="C37" s="504"/>
      <c r="D37" s="150" t="s">
        <v>234</v>
      </c>
      <c r="E37" s="260"/>
    </row>
    <row r="38" spans="1:5" s="156" customFormat="1" ht="33" x14ac:dyDescent="0.25">
      <c r="A38" s="498"/>
      <c r="B38" s="498"/>
      <c r="C38" s="504"/>
      <c r="D38" s="149" t="s">
        <v>227</v>
      </c>
      <c r="E38" s="260"/>
    </row>
    <row r="39" spans="1:5" s="157" customFormat="1" ht="59.25" customHeight="1" x14ac:dyDescent="0.25">
      <c r="A39" s="499"/>
      <c r="B39" s="499"/>
      <c r="C39" s="505"/>
      <c r="D39" s="150" t="s">
        <v>233</v>
      </c>
      <c r="E39" s="261"/>
    </row>
    <row r="40" spans="1:5" ht="73.5" customHeight="1" x14ac:dyDescent="0.25">
      <c r="A40" s="521"/>
      <c r="B40" s="514" t="s">
        <v>250</v>
      </c>
      <c r="C40" s="514"/>
      <c r="D40" s="55" t="s">
        <v>251</v>
      </c>
      <c r="E40" s="520">
        <v>-222620</v>
      </c>
    </row>
    <row r="41" spans="1:5" ht="16.5" x14ac:dyDescent="0.25">
      <c r="A41" s="522"/>
      <c r="B41" s="514"/>
      <c r="C41" s="514"/>
      <c r="D41" s="149" t="s">
        <v>226</v>
      </c>
      <c r="E41" s="520"/>
    </row>
    <row r="42" spans="1:5" ht="66" x14ac:dyDescent="0.25">
      <c r="A42" s="522"/>
      <c r="B42" s="514"/>
      <c r="C42" s="514"/>
      <c r="D42" s="150" t="s">
        <v>252</v>
      </c>
      <c r="E42" s="520"/>
    </row>
    <row r="43" spans="1:5" s="151" customFormat="1" ht="33" x14ac:dyDescent="0.25">
      <c r="A43" s="522"/>
      <c r="B43" s="514"/>
      <c r="C43" s="514"/>
      <c r="D43" s="149" t="s">
        <v>227</v>
      </c>
      <c r="E43" s="520"/>
    </row>
    <row r="44" spans="1:5" s="152" customFormat="1" ht="67.5" customHeight="1" x14ac:dyDescent="0.25">
      <c r="A44" s="522"/>
      <c r="B44" s="514"/>
      <c r="C44" s="514"/>
      <c r="D44" s="150" t="s">
        <v>189</v>
      </c>
      <c r="E44" s="520"/>
    </row>
    <row r="45" spans="1:5" ht="73.5" customHeight="1" x14ac:dyDescent="0.25">
      <c r="A45" s="521"/>
      <c r="B45" s="514" t="s">
        <v>255</v>
      </c>
      <c r="C45" s="514"/>
      <c r="D45" s="55" t="s">
        <v>259</v>
      </c>
      <c r="E45" s="520">
        <v>222620</v>
      </c>
    </row>
    <row r="46" spans="1:5" ht="16.5" x14ac:dyDescent="0.25">
      <c r="A46" s="522"/>
      <c r="B46" s="514"/>
      <c r="C46" s="514"/>
      <c r="D46" s="149" t="s">
        <v>226</v>
      </c>
      <c r="E46" s="520"/>
    </row>
    <row r="47" spans="1:5" ht="66" x14ac:dyDescent="0.25">
      <c r="A47" s="522"/>
      <c r="B47" s="514"/>
      <c r="C47" s="514"/>
      <c r="D47" s="150" t="s">
        <v>252</v>
      </c>
      <c r="E47" s="520"/>
    </row>
    <row r="48" spans="1:5" s="151" customFormat="1" ht="33" x14ac:dyDescent="0.25">
      <c r="A48" s="522"/>
      <c r="B48" s="514"/>
      <c r="C48" s="514"/>
      <c r="D48" s="149" t="s">
        <v>227</v>
      </c>
      <c r="E48" s="520"/>
    </row>
    <row r="49" spans="1:5" s="152" customFormat="1" ht="67.5" customHeight="1" x14ac:dyDescent="0.25">
      <c r="A49" s="522"/>
      <c r="B49" s="514"/>
      <c r="C49" s="514"/>
      <c r="D49" s="150" t="s">
        <v>189</v>
      </c>
      <c r="E49" s="520"/>
    </row>
  </sheetData>
  <mergeCells count="35">
    <mergeCell ref="B40:B44"/>
    <mergeCell ref="C40:C44"/>
    <mergeCell ref="E40:E44"/>
    <mergeCell ref="A40:A44"/>
    <mergeCell ref="A45:A49"/>
    <mergeCell ref="B45:B49"/>
    <mergeCell ref="C45:C49"/>
    <mergeCell ref="E45:E49"/>
    <mergeCell ref="A6:E6"/>
    <mergeCell ref="D1:E1"/>
    <mergeCell ref="D2:E2"/>
    <mergeCell ref="D3:E3"/>
    <mergeCell ref="A4:E4"/>
    <mergeCell ref="A5:E5"/>
    <mergeCell ref="A24:A28"/>
    <mergeCell ref="B24:B28"/>
    <mergeCell ref="C24:C28"/>
    <mergeCell ref="E24:E28"/>
    <mergeCell ref="A7:E7"/>
    <mergeCell ref="A9:B9"/>
    <mergeCell ref="D9:D10"/>
    <mergeCell ref="A12:A22"/>
    <mergeCell ref="B12:B16"/>
    <mergeCell ref="C12:C16"/>
    <mergeCell ref="E12:E16"/>
    <mergeCell ref="B18:B22"/>
    <mergeCell ref="C18:C22"/>
    <mergeCell ref="E18:E22"/>
    <mergeCell ref="B30:B34"/>
    <mergeCell ref="C30:C34"/>
    <mergeCell ref="E30:E34"/>
    <mergeCell ref="A32:A34"/>
    <mergeCell ref="A35:A39"/>
    <mergeCell ref="C35:C39"/>
    <mergeCell ref="B35:B39"/>
  </mergeCells>
  <pageMargins left="0.7" right="0.7" top="0.75" bottom="0.75" header="0.3" footer="0.3"/>
  <pageSetup paperSize="9" orientation="landscape" verticalDpi="0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4"/>
  <sheetViews>
    <sheetView tabSelected="1" view="pageBreakPreview" topLeftCell="A119" zoomScale="112" zoomScaleNormal="100" zoomScaleSheetLayoutView="112" workbookViewId="0">
      <selection activeCell="G124" sqref="G124"/>
    </sheetView>
  </sheetViews>
  <sheetFormatPr defaultRowHeight="14.25" x14ac:dyDescent="0.2"/>
  <cols>
    <col min="1" max="1" width="18.42578125" style="181" customWidth="1"/>
    <col min="2" max="2" width="57.42578125" style="181" customWidth="1"/>
    <col min="3" max="3" width="18.42578125" style="181" customWidth="1"/>
    <col min="4" max="4" width="13.7109375" style="181" customWidth="1"/>
    <col min="5" max="5" width="15.7109375" style="181" customWidth="1"/>
    <col min="6" max="6" width="17.42578125" style="318" customWidth="1"/>
    <col min="7" max="7" width="29.28515625" style="318" customWidth="1"/>
    <col min="8" max="90" width="0" style="181" hidden="1" customWidth="1"/>
    <col min="91" max="91" width="18.7109375" style="181" hidden="1" customWidth="1"/>
    <col min="92" max="92" width="18.5703125" style="181" hidden="1" customWidth="1"/>
    <col min="93" max="94" width="0" style="181" hidden="1" customWidth="1"/>
    <col min="95" max="255" width="9.140625" style="181"/>
    <col min="256" max="259" width="18.42578125" style="181" customWidth="1"/>
    <col min="260" max="260" width="20.42578125" style="181" customWidth="1"/>
    <col min="261" max="261" width="17.85546875" style="181" customWidth="1"/>
    <col min="262" max="262" width="18.42578125" style="181" customWidth="1"/>
    <col min="263" max="345" width="0" style="181" hidden="1" customWidth="1"/>
    <col min="346" max="346" width="9.140625" style="181"/>
    <col min="347" max="347" width="18.5703125" style="181" customWidth="1"/>
    <col min="348" max="511" width="9.140625" style="181"/>
    <col min="512" max="515" width="18.42578125" style="181" customWidth="1"/>
    <col min="516" max="516" width="20.42578125" style="181" customWidth="1"/>
    <col min="517" max="517" width="17.85546875" style="181" customWidth="1"/>
    <col min="518" max="518" width="18.42578125" style="181" customWidth="1"/>
    <col min="519" max="601" width="0" style="181" hidden="1" customWidth="1"/>
    <col min="602" max="602" width="9.140625" style="181"/>
    <col min="603" max="603" width="18.5703125" style="181" customWidth="1"/>
    <col min="604" max="767" width="9.140625" style="181"/>
    <col min="768" max="771" width="18.42578125" style="181" customWidth="1"/>
    <col min="772" max="772" width="20.42578125" style="181" customWidth="1"/>
    <col min="773" max="773" width="17.85546875" style="181" customWidth="1"/>
    <col min="774" max="774" width="18.42578125" style="181" customWidth="1"/>
    <col min="775" max="857" width="0" style="181" hidden="1" customWidth="1"/>
    <col min="858" max="858" width="9.140625" style="181"/>
    <col min="859" max="859" width="18.5703125" style="181" customWidth="1"/>
    <col min="860" max="1023" width="9.140625" style="181"/>
    <col min="1024" max="1027" width="18.42578125" style="181" customWidth="1"/>
    <col min="1028" max="1028" width="20.42578125" style="181" customWidth="1"/>
    <col min="1029" max="1029" width="17.85546875" style="181" customWidth="1"/>
    <col min="1030" max="1030" width="18.42578125" style="181" customWidth="1"/>
    <col min="1031" max="1113" width="0" style="181" hidden="1" customWidth="1"/>
    <col min="1114" max="1114" width="9.140625" style="181"/>
    <col min="1115" max="1115" width="18.5703125" style="181" customWidth="1"/>
    <col min="1116" max="1279" width="9.140625" style="181"/>
    <col min="1280" max="1283" width="18.42578125" style="181" customWidth="1"/>
    <col min="1284" max="1284" width="20.42578125" style="181" customWidth="1"/>
    <col min="1285" max="1285" width="17.85546875" style="181" customWidth="1"/>
    <col min="1286" max="1286" width="18.42578125" style="181" customWidth="1"/>
    <col min="1287" max="1369" width="0" style="181" hidden="1" customWidth="1"/>
    <col min="1370" max="1370" width="9.140625" style="181"/>
    <col min="1371" max="1371" width="18.5703125" style="181" customWidth="1"/>
    <col min="1372" max="1535" width="9.140625" style="181"/>
    <col min="1536" max="1539" width="18.42578125" style="181" customWidth="1"/>
    <col min="1540" max="1540" width="20.42578125" style="181" customWidth="1"/>
    <col min="1541" max="1541" width="17.85546875" style="181" customWidth="1"/>
    <col min="1542" max="1542" width="18.42578125" style="181" customWidth="1"/>
    <col min="1543" max="1625" width="0" style="181" hidden="1" customWidth="1"/>
    <col min="1626" max="1626" width="9.140625" style="181"/>
    <col min="1627" max="1627" width="18.5703125" style="181" customWidth="1"/>
    <col min="1628" max="1791" width="9.140625" style="181"/>
    <col min="1792" max="1795" width="18.42578125" style="181" customWidth="1"/>
    <col min="1796" max="1796" width="20.42578125" style="181" customWidth="1"/>
    <col min="1797" max="1797" width="17.85546875" style="181" customWidth="1"/>
    <col min="1798" max="1798" width="18.42578125" style="181" customWidth="1"/>
    <col min="1799" max="1881" width="0" style="181" hidden="1" customWidth="1"/>
    <col min="1882" max="1882" width="9.140625" style="181"/>
    <col min="1883" max="1883" width="18.5703125" style="181" customWidth="1"/>
    <col min="1884" max="2047" width="9.140625" style="181"/>
    <col min="2048" max="2051" width="18.42578125" style="181" customWidth="1"/>
    <col min="2052" max="2052" width="20.42578125" style="181" customWidth="1"/>
    <col min="2053" max="2053" width="17.85546875" style="181" customWidth="1"/>
    <col min="2054" max="2054" width="18.42578125" style="181" customWidth="1"/>
    <col min="2055" max="2137" width="0" style="181" hidden="1" customWidth="1"/>
    <col min="2138" max="2138" width="9.140625" style="181"/>
    <col min="2139" max="2139" width="18.5703125" style="181" customWidth="1"/>
    <col min="2140" max="2303" width="9.140625" style="181"/>
    <col min="2304" max="2307" width="18.42578125" style="181" customWidth="1"/>
    <col min="2308" max="2308" width="20.42578125" style="181" customWidth="1"/>
    <col min="2309" max="2309" width="17.85546875" style="181" customWidth="1"/>
    <col min="2310" max="2310" width="18.42578125" style="181" customWidth="1"/>
    <col min="2311" max="2393" width="0" style="181" hidden="1" customWidth="1"/>
    <col min="2394" max="2394" width="9.140625" style="181"/>
    <col min="2395" max="2395" width="18.5703125" style="181" customWidth="1"/>
    <col min="2396" max="2559" width="9.140625" style="181"/>
    <col min="2560" max="2563" width="18.42578125" style="181" customWidth="1"/>
    <col min="2564" max="2564" width="20.42578125" style="181" customWidth="1"/>
    <col min="2565" max="2565" width="17.85546875" style="181" customWidth="1"/>
    <col min="2566" max="2566" width="18.42578125" style="181" customWidth="1"/>
    <col min="2567" max="2649" width="0" style="181" hidden="1" customWidth="1"/>
    <col min="2650" max="2650" width="9.140625" style="181"/>
    <col min="2651" max="2651" width="18.5703125" style="181" customWidth="1"/>
    <col min="2652" max="2815" width="9.140625" style="181"/>
    <col min="2816" max="2819" width="18.42578125" style="181" customWidth="1"/>
    <col min="2820" max="2820" width="20.42578125" style="181" customWidth="1"/>
    <col min="2821" max="2821" width="17.85546875" style="181" customWidth="1"/>
    <col min="2822" max="2822" width="18.42578125" style="181" customWidth="1"/>
    <col min="2823" max="2905" width="0" style="181" hidden="1" customWidth="1"/>
    <col min="2906" max="2906" width="9.140625" style="181"/>
    <col min="2907" max="2907" width="18.5703125" style="181" customWidth="1"/>
    <col min="2908" max="3071" width="9.140625" style="181"/>
    <col min="3072" max="3075" width="18.42578125" style="181" customWidth="1"/>
    <col min="3076" max="3076" width="20.42578125" style="181" customWidth="1"/>
    <col min="3077" max="3077" width="17.85546875" style="181" customWidth="1"/>
    <col min="3078" max="3078" width="18.42578125" style="181" customWidth="1"/>
    <col min="3079" max="3161" width="0" style="181" hidden="1" customWidth="1"/>
    <col min="3162" max="3162" width="9.140625" style="181"/>
    <col min="3163" max="3163" width="18.5703125" style="181" customWidth="1"/>
    <col min="3164" max="3327" width="9.140625" style="181"/>
    <col min="3328" max="3331" width="18.42578125" style="181" customWidth="1"/>
    <col min="3332" max="3332" width="20.42578125" style="181" customWidth="1"/>
    <col min="3333" max="3333" width="17.85546875" style="181" customWidth="1"/>
    <col min="3334" max="3334" width="18.42578125" style="181" customWidth="1"/>
    <col min="3335" max="3417" width="0" style="181" hidden="1" customWidth="1"/>
    <col min="3418" max="3418" width="9.140625" style="181"/>
    <col min="3419" max="3419" width="18.5703125" style="181" customWidth="1"/>
    <col min="3420" max="3583" width="9.140625" style="181"/>
    <col min="3584" max="3587" width="18.42578125" style="181" customWidth="1"/>
    <col min="3588" max="3588" width="20.42578125" style="181" customWidth="1"/>
    <col min="3589" max="3589" width="17.85546875" style="181" customWidth="1"/>
    <col min="3590" max="3590" width="18.42578125" style="181" customWidth="1"/>
    <col min="3591" max="3673" width="0" style="181" hidden="1" customWidth="1"/>
    <col min="3674" max="3674" width="9.140625" style="181"/>
    <col min="3675" max="3675" width="18.5703125" style="181" customWidth="1"/>
    <col min="3676" max="3839" width="9.140625" style="181"/>
    <col min="3840" max="3843" width="18.42578125" style="181" customWidth="1"/>
    <col min="3844" max="3844" width="20.42578125" style="181" customWidth="1"/>
    <col min="3845" max="3845" width="17.85546875" style="181" customWidth="1"/>
    <col min="3846" max="3846" width="18.42578125" style="181" customWidth="1"/>
    <col min="3847" max="3929" width="0" style="181" hidden="1" customWidth="1"/>
    <col min="3930" max="3930" width="9.140625" style="181"/>
    <col min="3931" max="3931" width="18.5703125" style="181" customWidth="1"/>
    <col min="3932" max="4095" width="9.140625" style="181"/>
    <col min="4096" max="4099" width="18.42578125" style="181" customWidth="1"/>
    <col min="4100" max="4100" width="20.42578125" style="181" customWidth="1"/>
    <col min="4101" max="4101" width="17.85546875" style="181" customWidth="1"/>
    <col min="4102" max="4102" width="18.42578125" style="181" customWidth="1"/>
    <col min="4103" max="4185" width="0" style="181" hidden="1" customWidth="1"/>
    <col min="4186" max="4186" width="9.140625" style="181"/>
    <col min="4187" max="4187" width="18.5703125" style="181" customWidth="1"/>
    <col min="4188" max="4351" width="9.140625" style="181"/>
    <col min="4352" max="4355" width="18.42578125" style="181" customWidth="1"/>
    <col min="4356" max="4356" width="20.42578125" style="181" customWidth="1"/>
    <col min="4357" max="4357" width="17.85546875" style="181" customWidth="1"/>
    <col min="4358" max="4358" width="18.42578125" style="181" customWidth="1"/>
    <col min="4359" max="4441" width="0" style="181" hidden="1" customWidth="1"/>
    <col min="4442" max="4442" width="9.140625" style="181"/>
    <col min="4443" max="4443" width="18.5703125" style="181" customWidth="1"/>
    <col min="4444" max="4607" width="9.140625" style="181"/>
    <col min="4608" max="4611" width="18.42578125" style="181" customWidth="1"/>
    <col min="4612" max="4612" width="20.42578125" style="181" customWidth="1"/>
    <col min="4613" max="4613" width="17.85546875" style="181" customWidth="1"/>
    <col min="4614" max="4614" width="18.42578125" style="181" customWidth="1"/>
    <col min="4615" max="4697" width="0" style="181" hidden="1" customWidth="1"/>
    <col min="4698" max="4698" width="9.140625" style="181"/>
    <col min="4699" max="4699" width="18.5703125" style="181" customWidth="1"/>
    <col min="4700" max="4863" width="9.140625" style="181"/>
    <col min="4864" max="4867" width="18.42578125" style="181" customWidth="1"/>
    <col min="4868" max="4868" width="20.42578125" style="181" customWidth="1"/>
    <col min="4869" max="4869" width="17.85546875" style="181" customWidth="1"/>
    <col min="4870" max="4870" width="18.42578125" style="181" customWidth="1"/>
    <col min="4871" max="4953" width="0" style="181" hidden="1" customWidth="1"/>
    <col min="4954" max="4954" width="9.140625" style="181"/>
    <col min="4955" max="4955" width="18.5703125" style="181" customWidth="1"/>
    <col min="4956" max="5119" width="9.140625" style="181"/>
    <col min="5120" max="5123" width="18.42578125" style="181" customWidth="1"/>
    <col min="5124" max="5124" width="20.42578125" style="181" customWidth="1"/>
    <col min="5125" max="5125" width="17.85546875" style="181" customWidth="1"/>
    <col min="5126" max="5126" width="18.42578125" style="181" customWidth="1"/>
    <col min="5127" max="5209" width="0" style="181" hidden="1" customWidth="1"/>
    <col min="5210" max="5210" width="9.140625" style="181"/>
    <col min="5211" max="5211" width="18.5703125" style="181" customWidth="1"/>
    <col min="5212" max="5375" width="9.140625" style="181"/>
    <col min="5376" max="5379" width="18.42578125" style="181" customWidth="1"/>
    <col min="5380" max="5380" width="20.42578125" style="181" customWidth="1"/>
    <col min="5381" max="5381" width="17.85546875" style="181" customWidth="1"/>
    <col min="5382" max="5382" width="18.42578125" style="181" customWidth="1"/>
    <col min="5383" max="5465" width="0" style="181" hidden="1" customWidth="1"/>
    <col min="5466" max="5466" width="9.140625" style="181"/>
    <col min="5467" max="5467" width="18.5703125" style="181" customWidth="1"/>
    <col min="5468" max="5631" width="9.140625" style="181"/>
    <col min="5632" max="5635" width="18.42578125" style="181" customWidth="1"/>
    <col min="5636" max="5636" width="20.42578125" style="181" customWidth="1"/>
    <col min="5637" max="5637" width="17.85546875" style="181" customWidth="1"/>
    <col min="5638" max="5638" width="18.42578125" style="181" customWidth="1"/>
    <col min="5639" max="5721" width="0" style="181" hidden="1" customWidth="1"/>
    <col min="5722" max="5722" width="9.140625" style="181"/>
    <col min="5723" max="5723" width="18.5703125" style="181" customWidth="1"/>
    <col min="5724" max="5887" width="9.140625" style="181"/>
    <col min="5888" max="5891" width="18.42578125" style="181" customWidth="1"/>
    <col min="5892" max="5892" width="20.42578125" style="181" customWidth="1"/>
    <col min="5893" max="5893" width="17.85546875" style="181" customWidth="1"/>
    <col min="5894" max="5894" width="18.42578125" style="181" customWidth="1"/>
    <col min="5895" max="5977" width="0" style="181" hidden="1" customWidth="1"/>
    <col min="5978" max="5978" width="9.140625" style="181"/>
    <col min="5979" max="5979" width="18.5703125" style="181" customWidth="1"/>
    <col min="5980" max="6143" width="9.140625" style="181"/>
    <col min="6144" max="6147" width="18.42578125" style="181" customWidth="1"/>
    <col min="6148" max="6148" width="20.42578125" style="181" customWidth="1"/>
    <col min="6149" max="6149" width="17.85546875" style="181" customWidth="1"/>
    <col min="6150" max="6150" width="18.42578125" style="181" customWidth="1"/>
    <col min="6151" max="6233" width="0" style="181" hidden="1" customWidth="1"/>
    <col min="6234" max="6234" width="9.140625" style="181"/>
    <col min="6235" max="6235" width="18.5703125" style="181" customWidth="1"/>
    <col min="6236" max="6399" width="9.140625" style="181"/>
    <col min="6400" max="6403" width="18.42578125" style="181" customWidth="1"/>
    <col min="6404" max="6404" width="20.42578125" style="181" customWidth="1"/>
    <col min="6405" max="6405" width="17.85546875" style="181" customWidth="1"/>
    <col min="6406" max="6406" width="18.42578125" style="181" customWidth="1"/>
    <col min="6407" max="6489" width="0" style="181" hidden="1" customWidth="1"/>
    <col min="6490" max="6490" width="9.140625" style="181"/>
    <col min="6491" max="6491" width="18.5703125" style="181" customWidth="1"/>
    <col min="6492" max="6655" width="9.140625" style="181"/>
    <col min="6656" max="6659" width="18.42578125" style="181" customWidth="1"/>
    <col min="6660" max="6660" width="20.42578125" style="181" customWidth="1"/>
    <col min="6661" max="6661" width="17.85546875" style="181" customWidth="1"/>
    <col min="6662" max="6662" width="18.42578125" style="181" customWidth="1"/>
    <col min="6663" max="6745" width="0" style="181" hidden="1" customWidth="1"/>
    <col min="6746" max="6746" width="9.140625" style="181"/>
    <col min="6747" max="6747" width="18.5703125" style="181" customWidth="1"/>
    <col min="6748" max="6911" width="9.140625" style="181"/>
    <col min="6912" max="6915" width="18.42578125" style="181" customWidth="1"/>
    <col min="6916" max="6916" width="20.42578125" style="181" customWidth="1"/>
    <col min="6917" max="6917" width="17.85546875" style="181" customWidth="1"/>
    <col min="6918" max="6918" width="18.42578125" style="181" customWidth="1"/>
    <col min="6919" max="7001" width="0" style="181" hidden="1" customWidth="1"/>
    <col min="7002" max="7002" width="9.140625" style="181"/>
    <col min="7003" max="7003" width="18.5703125" style="181" customWidth="1"/>
    <col min="7004" max="7167" width="9.140625" style="181"/>
    <col min="7168" max="7171" width="18.42578125" style="181" customWidth="1"/>
    <col min="7172" max="7172" width="20.42578125" style="181" customWidth="1"/>
    <col min="7173" max="7173" width="17.85546875" style="181" customWidth="1"/>
    <col min="7174" max="7174" width="18.42578125" style="181" customWidth="1"/>
    <col min="7175" max="7257" width="0" style="181" hidden="1" customWidth="1"/>
    <col min="7258" max="7258" width="9.140625" style="181"/>
    <col min="7259" max="7259" width="18.5703125" style="181" customWidth="1"/>
    <col min="7260" max="7423" width="9.140625" style="181"/>
    <col min="7424" max="7427" width="18.42578125" style="181" customWidth="1"/>
    <col min="7428" max="7428" width="20.42578125" style="181" customWidth="1"/>
    <col min="7429" max="7429" width="17.85546875" style="181" customWidth="1"/>
    <col min="7430" max="7430" width="18.42578125" style="181" customWidth="1"/>
    <col min="7431" max="7513" width="0" style="181" hidden="1" customWidth="1"/>
    <col min="7514" max="7514" width="9.140625" style="181"/>
    <col min="7515" max="7515" width="18.5703125" style="181" customWidth="1"/>
    <col min="7516" max="7679" width="9.140625" style="181"/>
    <col min="7680" max="7683" width="18.42578125" style="181" customWidth="1"/>
    <col min="7684" max="7684" width="20.42578125" style="181" customWidth="1"/>
    <col min="7685" max="7685" width="17.85546875" style="181" customWidth="1"/>
    <col min="7686" max="7686" width="18.42578125" style="181" customWidth="1"/>
    <col min="7687" max="7769" width="0" style="181" hidden="1" customWidth="1"/>
    <col min="7770" max="7770" width="9.140625" style="181"/>
    <col min="7771" max="7771" width="18.5703125" style="181" customWidth="1"/>
    <col min="7772" max="7935" width="9.140625" style="181"/>
    <col min="7936" max="7939" width="18.42578125" style="181" customWidth="1"/>
    <col min="7940" max="7940" width="20.42578125" style="181" customWidth="1"/>
    <col min="7941" max="7941" width="17.85546875" style="181" customWidth="1"/>
    <col min="7942" max="7942" width="18.42578125" style="181" customWidth="1"/>
    <col min="7943" max="8025" width="0" style="181" hidden="1" customWidth="1"/>
    <col min="8026" max="8026" width="9.140625" style="181"/>
    <col min="8027" max="8027" width="18.5703125" style="181" customWidth="1"/>
    <col min="8028" max="8191" width="9.140625" style="181"/>
    <col min="8192" max="8195" width="18.42578125" style="181" customWidth="1"/>
    <col min="8196" max="8196" width="20.42578125" style="181" customWidth="1"/>
    <col min="8197" max="8197" width="17.85546875" style="181" customWidth="1"/>
    <col min="8198" max="8198" width="18.42578125" style="181" customWidth="1"/>
    <col min="8199" max="8281" width="0" style="181" hidden="1" customWidth="1"/>
    <col min="8282" max="8282" width="9.140625" style="181"/>
    <col min="8283" max="8283" width="18.5703125" style="181" customWidth="1"/>
    <col min="8284" max="8447" width="9.140625" style="181"/>
    <col min="8448" max="8451" width="18.42578125" style="181" customWidth="1"/>
    <col min="8452" max="8452" width="20.42578125" style="181" customWidth="1"/>
    <col min="8453" max="8453" width="17.85546875" style="181" customWidth="1"/>
    <col min="8454" max="8454" width="18.42578125" style="181" customWidth="1"/>
    <col min="8455" max="8537" width="0" style="181" hidden="1" customWidth="1"/>
    <col min="8538" max="8538" width="9.140625" style="181"/>
    <col min="8539" max="8539" width="18.5703125" style="181" customWidth="1"/>
    <col min="8540" max="8703" width="9.140625" style="181"/>
    <col min="8704" max="8707" width="18.42578125" style="181" customWidth="1"/>
    <col min="8708" max="8708" width="20.42578125" style="181" customWidth="1"/>
    <col min="8709" max="8709" width="17.85546875" style="181" customWidth="1"/>
    <col min="8710" max="8710" width="18.42578125" style="181" customWidth="1"/>
    <col min="8711" max="8793" width="0" style="181" hidden="1" customWidth="1"/>
    <col min="8794" max="8794" width="9.140625" style="181"/>
    <col min="8795" max="8795" width="18.5703125" style="181" customWidth="1"/>
    <col min="8796" max="8959" width="9.140625" style="181"/>
    <col min="8960" max="8963" width="18.42578125" style="181" customWidth="1"/>
    <col min="8964" max="8964" width="20.42578125" style="181" customWidth="1"/>
    <col min="8965" max="8965" width="17.85546875" style="181" customWidth="1"/>
    <col min="8966" max="8966" width="18.42578125" style="181" customWidth="1"/>
    <col min="8967" max="9049" width="0" style="181" hidden="1" customWidth="1"/>
    <col min="9050" max="9050" width="9.140625" style="181"/>
    <col min="9051" max="9051" width="18.5703125" style="181" customWidth="1"/>
    <col min="9052" max="9215" width="9.140625" style="181"/>
    <col min="9216" max="9219" width="18.42578125" style="181" customWidth="1"/>
    <col min="9220" max="9220" width="20.42578125" style="181" customWidth="1"/>
    <col min="9221" max="9221" width="17.85546875" style="181" customWidth="1"/>
    <col min="9222" max="9222" width="18.42578125" style="181" customWidth="1"/>
    <col min="9223" max="9305" width="0" style="181" hidden="1" customWidth="1"/>
    <col min="9306" max="9306" width="9.140625" style="181"/>
    <col min="9307" max="9307" width="18.5703125" style="181" customWidth="1"/>
    <col min="9308" max="9471" width="9.140625" style="181"/>
    <col min="9472" max="9475" width="18.42578125" style="181" customWidth="1"/>
    <col min="9476" max="9476" width="20.42578125" style="181" customWidth="1"/>
    <col min="9477" max="9477" width="17.85546875" style="181" customWidth="1"/>
    <col min="9478" max="9478" width="18.42578125" style="181" customWidth="1"/>
    <col min="9479" max="9561" width="0" style="181" hidden="1" customWidth="1"/>
    <col min="9562" max="9562" width="9.140625" style="181"/>
    <col min="9563" max="9563" width="18.5703125" style="181" customWidth="1"/>
    <col min="9564" max="9727" width="9.140625" style="181"/>
    <col min="9728" max="9731" width="18.42578125" style="181" customWidth="1"/>
    <col min="9732" max="9732" width="20.42578125" style="181" customWidth="1"/>
    <col min="9733" max="9733" width="17.85546875" style="181" customWidth="1"/>
    <col min="9734" max="9734" width="18.42578125" style="181" customWidth="1"/>
    <col min="9735" max="9817" width="0" style="181" hidden="1" customWidth="1"/>
    <col min="9818" max="9818" width="9.140625" style="181"/>
    <col min="9819" max="9819" width="18.5703125" style="181" customWidth="1"/>
    <col min="9820" max="9983" width="9.140625" style="181"/>
    <col min="9984" max="9987" width="18.42578125" style="181" customWidth="1"/>
    <col min="9988" max="9988" width="20.42578125" style="181" customWidth="1"/>
    <col min="9989" max="9989" width="17.85546875" style="181" customWidth="1"/>
    <col min="9990" max="9990" width="18.42578125" style="181" customWidth="1"/>
    <col min="9991" max="10073" width="0" style="181" hidden="1" customWidth="1"/>
    <col min="10074" max="10074" width="9.140625" style="181"/>
    <col min="10075" max="10075" width="18.5703125" style="181" customWidth="1"/>
    <col min="10076" max="10239" width="9.140625" style="181"/>
    <col min="10240" max="10243" width="18.42578125" style="181" customWidth="1"/>
    <col min="10244" max="10244" width="20.42578125" style="181" customWidth="1"/>
    <col min="10245" max="10245" width="17.85546875" style="181" customWidth="1"/>
    <col min="10246" max="10246" width="18.42578125" style="181" customWidth="1"/>
    <col min="10247" max="10329" width="0" style="181" hidden="1" customWidth="1"/>
    <col min="10330" max="10330" width="9.140625" style="181"/>
    <col min="10331" max="10331" width="18.5703125" style="181" customWidth="1"/>
    <col min="10332" max="10495" width="9.140625" style="181"/>
    <col min="10496" max="10499" width="18.42578125" style="181" customWidth="1"/>
    <col min="10500" max="10500" width="20.42578125" style="181" customWidth="1"/>
    <col min="10501" max="10501" width="17.85546875" style="181" customWidth="1"/>
    <col min="10502" max="10502" width="18.42578125" style="181" customWidth="1"/>
    <col min="10503" max="10585" width="0" style="181" hidden="1" customWidth="1"/>
    <col min="10586" max="10586" width="9.140625" style="181"/>
    <col min="10587" max="10587" width="18.5703125" style="181" customWidth="1"/>
    <col min="10588" max="10751" width="9.140625" style="181"/>
    <col min="10752" max="10755" width="18.42578125" style="181" customWidth="1"/>
    <col min="10756" max="10756" width="20.42578125" style="181" customWidth="1"/>
    <col min="10757" max="10757" width="17.85546875" style="181" customWidth="1"/>
    <col min="10758" max="10758" width="18.42578125" style="181" customWidth="1"/>
    <col min="10759" max="10841" width="0" style="181" hidden="1" customWidth="1"/>
    <col min="10842" max="10842" width="9.140625" style="181"/>
    <col min="10843" max="10843" width="18.5703125" style="181" customWidth="1"/>
    <col min="10844" max="11007" width="9.140625" style="181"/>
    <col min="11008" max="11011" width="18.42578125" style="181" customWidth="1"/>
    <col min="11012" max="11012" width="20.42578125" style="181" customWidth="1"/>
    <col min="11013" max="11013" width="17.85546875" style="181" customWidth="1"/>
    <col min="11014" max="11014" width="18.42578125" style="181" customWidth="1"/>
    <col min="11015" max="11097" width="0" style="181" hidden="1" customWidth="1"/>
    <col min="11098" max="11098" width="9.140625" style="181"/>
    <col min="11099" max="11099" width="18.5703125" style="181" customWidth="1"/>
    <col min="11100" max="11263" width="9.140625" style="181"/>
    <col min="11264" max="11267" width="18.42578125" style="181" customWidth="1"/>
    <col min="11268" max="11268" width="20.42578125" style="181" customWidth="1"/>
    <col min="11269" max="11269" width="17.85546875" style="181" customWidth="1"/>
    <col min="11270" max="11270" width="18.42578125" style="181" customWidth="1"/>
    <col min="11271" max="11353" width="0" style="181" hidden="1" customWidth="1"/>
    <col min="11354" max="11354" width="9.140625" style="181"/>
    <col min="11355" max="11355" width="18.5703125" style="181" customWidth="1"/>
    <col min="11356" max="11519" width="9.140625" style="181"/>
    <col min="11520" max="11523" width="18.42578125" style="181" customWidth="1"/>
    <col min="11524" max="11524" width="20.42578125" style="181" customWidth="1"/>
    <col min="11525" max="11525" width="17.85546875" style="181" customWidth="1"/>
    <col min="11526" max="11526" width="18.42578125" style="181" customWidth="1"/>
    <col min="11527" max="11609" width="0" style="181" hidden="1" customWidth="1"/>
    <col min="11610" max="11610" width="9.140625" style="181"/>
    <col min="11611" max="11611" width="18.5703125" style="181" customWidth="1"/>
    <col min="11612" max="11775" width="9.140625" style="181"/>
    <col min="11776" max="11779" width="18.42578125" style="181" customWidth="1"/>
    <col min="11780" max="11780" width="20.42578125" style="181" customWidth="1"/>
    <col min="11781" max="11781" width="17.85546875" style="181" customWidth="1"/>
    <col min="11782" max="11782" width="18.42578125" style="181" customWidth="1"/>
    <col min="11783" max="11865" width="0" style="181" hidden="1" customWidth="1"/>
    <col min="11866" max="11866" width="9.140625" style="181"/>
    <col min="11867" max="11867" width="18.5703125" style="181" customWidth="1"/>
    <col min="11868" max="12031" width="9.140625" style="181"/>
    <col min="12032" max="12035" width="18.42578125" style="181" customWidth="1"/>
    <col min="12036" max="12036" width="20.42578125" style="181" customWidth="1"/>
    <col min="12037" max="12037" width="17.85546875" style="181" customWidth="1"/>
    <col min="12038" max="12038" width="18.42578125" style="181" customWidth="1"/>
    <col min="12039" max="12121" width="0" style="181" hidden="1" customWidth="1"/>
    <col min="12122" max="12122" width="9.140625" style="181"/>
    <col min="12123" max="12123" width="18.5703125" style="181" customWidth="1"/>
    <col min="12124" max="12287" width="9.140625" style="181"/>
    <col min="12288" max="12291" width="18.42578125" style="181" customWidth="1"/>
    <col min="12292" max="12292" width="20.42578125" style="181" customWidth="1"/>
    <col min="12293" max="12293" width="17.85546875" style="181" customWidth="1"/>
    <col min="12294" max="12294" width="18.42578125" style="181" customWidth="1"/>
    <col min="12295" max="12377" width="0" style="181" hidden="1" customWidth="1"/>
    <col min="12378" max="12378" width="9.140625" style="181"/>
    <col min="12379" max="12379" width="18.5703125" style="181" customWidth="1"/>
    <col min="12380" max="12543" width="9.140625" style="181"/>
    <col min="12544" max="12547" width="18.42578125" style="181" customWidth="1"/>
    <col min="12548" max="12548" width="20.42578125" style="181" customWidth="1"/>
    <col min="12549" max="12549" width="17.85546875" style="181" customWidth="1"/>
    <col min="12550" max="12550" width="18.42578125" style="181" customWidth="1"/>
    <col min="12551" max="12633" width="0" style="181" hidden="1" customWidth="1"/>
    <col min="12634" max="12634" width="9.140625" style="181"/>
    <col min="12635" max="12635" width="18.5703125" style="181" customWidth="1"/>
    <col min="12636" max="12799" width="9.140625" style="181"/>
    <col min="12800" max="12803" width="18.42578125" style="181" customWidth="1"/>
    <col min="12804" max="12804" width="20.42578125" style="181" customWidth="1"/>
    <col min="12805" max="12805" width="17.85546875" style="181" customWidth="1"/>
    <col min="12806" max="12806" width="18.42578125" style="181" customWidth="1"/>
    <col min="12807" max="12889" width="0" style="181" hidden="1" customWidth="1"/>
    <col min="12890" max="12890" width="9.140625" style="181"/>
    <col min="12891" max="12891" width="18.5703125" style="181" customWidth="1"/>
    <col min="12892" max="13055" width="9.140625" style="181"/>
    <col min="13056" max="13059" width="18.42578125" style="181" customWidth="1"/>
    <col min="13060" max="13060" width="20.42578125" style="181" customWidth="1"/>
    <col min="13061" max="13061" width="17.85546875" style="181" customWidth="1"/>
    <col min="13062" max="13062" width="18.42578125" style="181" customWidth="1"/>
    <col min="13063" max="13145" width="0" style="181" hidden="1" customWidth="1"/>
    <col min="13146" max="13146" width="9.140625" style="181"/>
    <col min="13147" max="13147" width="18.5703125" style="181" customWidth="1"/>
    <col min="13148" max="13311" width="9.140625" style="181"/>
    <col min="13312" max="13315" width="18.42578125" style="181" customWidth="1"/>
    <col min="13316" max="13316" width="20.42578125" style="181" customWidth="1"/>
    <col min="13317" max="13317" width="17.85546875" style="181" customWidth="1"/>
    <col min="13318" max="13318" width="18.42578125" style="181" customWidth="1"/>
    <col min="13319" max="13401" width="0" style="181" hidden="1" customWidth="1"/>
    <col min="13402" max="13402" width="9.140625" style="181"/>
    <col min="13403" max="13403" width="18.5703125" style="181" customWidth="1"/>
    <col min="13404" max="13567" width="9.140625" style="181"/>
    <col min="13568" max="13571" width="18.42578125" style="181" customWidth="1"/>
    <col min="13572" max="13572" width="20.42578125" style="181" customWidth="1"/>
    <col min="13573" max="13573" width="17.85546875" style="181" customWidth="1"/>
    <col min="13574" max="13574" width="18.42578125" style="181" customWidth="1"/>
    <col min="13575" max="13657" width="0" style="181" hidden="1" customWidth="1"/>
    <col min="13658" max="13658" width="9.140625" style="181"/>
    <col min="13659" max="13659" width="18.5703125" style="181" customWidth="1"/>
    <col min="13660" max="13823" width="9.140625" style="181"/>
    <col min="13824" max="13827" width="18.42578125" style="181" customWidth="1"/>
    <col min="13828" max="13828" width="20.42578125" style="181" customWidth="1"/>
    <col min="13829" max="13829" width="17.85546875" style="181" customWidth="1"/>
    <col min="13830" max="13830" width="18.42578125" style="181" customWidth="1"/>
    <col min="13831" max="13913" width="0" style="181" hidden="1" customWidth="1"/>
    <col min="13914" max="13914" width="9.140625" style="181"/>
    <col min="13915" max="13915" width="18.5703125" style="181" customWidth="1"/>
    <col min="13916" max="14079" width="9.140625" style="181"/>
    <col min="14080" max="14083" width="18.42578125" style="181" customWidth="1"/>
    <col min="14084" max="14084" width="20.42578125" style="181" customWidth="1"/>
    <col min="14085" max="14085" width="17.85546875" style="181" customWidth="1"/>
    <col min="14086" max="14086" width="18.42578125" style="181" customWidth="1"/>
    <col min="14087" max="14169" width="0" style="181" hidden="1" customWidth="1"/>
    <col min="14170" max="14170" width="9.140625" style="181"/>
    <col min="14171" max="14171" width="18.5703125" style="181" customWidth="1"/>
    <col min="14172" max="14335" width="9.140625" style="181"/>
    <col min="14336" max="14339" width="18.42578125" style="181" customWidth="1"/>
    <col min="14340" max="14340" width="20.42578125" style="181" customWidth="1"/>
    <col min="14341" max="14341" width="17.85546875" style="181" customWidth="1"/>
    <col min="14342" max="14342" width="18.42578125" style="181" customWidth="1"/>
    <col min="14343" max="14425" width="0" style="181" hidden="1" customWidth="1"/>
    <col min="14426" max="14426" width="9.140625" style="181"/>
    <col min="14427" max="14427" width="18.5703125" style="181" customWidth="1"/>
    <col min="14428" max="14591" width="9.140625" style="181"/>
    <col min="14592" max="14595" width="18.42578125" style="181" customWidth="1"/>
    <col min="14596" max="14596" width="20.42578125" style="181" customWidth="1"/>
    <col min="14597" max="14597" width="17.85546875" style="181" customWidth="1"/>
    <col min="14598" max="14598" width="18.42578125" style="181" customWidth="1"/>
    <col min="14599" max="14681" width="0" style="181" hidden="1" customWidth="1"/>
    <col min="14682" max="14682" width="9.140625" style="181"/>
    <col min="14683" max="14683" width="18.5703125" style="181" customWidth="1"/>
    <col min="14684" max="14847" width="9.140625" style="181"/>
    <col min="14848" max="14851" width="18.42578125" style="181" customWidth="1"/>
    <col min="14852" max="14852" width="20.42578125" style="181" customWidth="1"/>
    <col min="14853" max="14853" width="17.85546875" style="181" customWidth="1"/>
    <col min="14854" max="14854" width="18.42578125" style="181" customWidth="1"/>
    <col min="14855" max="14937" width="0" style="181" hidden="1" customWidth="1"/>
    <col min="14938" max="14938" width="9.140625" style="181"/>
    <col min="14939" max="14939" width="18.5703125" style="181" customWidth="1"/>
    <col min="14940" max="15103" width="9.140625" style="181"/>
    <col min="15104" max="15107" width="18.42578125" style="181" customWidth="1"/>
    <col min="15108" max="15108" width="20.42578125" style="181" customWidth="1"/>
    <col min="15109" max="15109" width="17.85546875" style="181" customWidth="1"/>
    <col min="15110" max="15110" width="18.42578125" style="181" customWidth="1"/>
    <col min="15111" max="15193" width="0" style="181" hidden="1" customWidth="1"/>
    <col min="15194" max="15194" width="9.140625" style="181"/>
    <col min="15195" max="15195" width="18.5703125" style="181" customWidth="1"/>
    <col min="15196" max="15359" width="9.140625" style="181"/>
    <col min="15360" max="15363" width="18.42578125" style="181" customWidth="1"/>
    <col min="15364" max="15364" width="20.42578125" style="181" customWidth="1"/>
    <col min="15365" max="15365" width="17.85546875" style="181" customWidth="1"/>
    <col min="15366" max="15366" width="18.42578125" style="181" customWidth="1"/>
    <col min="15367" max="15449" width="0" style="181" hidden="1" customWidth="1"/>
    <col min="15450" max="15450" width="9.140625" style="181"/>
    <col min="15451" max="15451" width="18.5703125" style="181" customWidth="1"/>
    <col min="15452" max="15615" width="9.140625" style="181"/>
    <col min="15616" max="15619" width="18.42578125" style="181" customWidth="1"/>
    <col min="15620" max="15620" width="20.42578125" style="181" customWidth="1"/>
    <col min="15621" max="15621" width="17.85546875" style="181" customWidth="1"/>
    <col min="15622" max="15622" width="18.42578125" style="181" customWidth="1"/>
    <col min="15623" max="15705" width="0" style="181" hidden="1" customWidth="1"/>
    <col min="15706" max="15706" width="9.140625" style="181"/>
    <col min="15707" max="15707" width="18.5703125" style="181" customWidth="1"/>
    <col min="15708" max="15871" width="9.140625" style="181"/>
    <col min="15872" max="15875" width="18.42578125" style="181" customWidth="1"/>
    <col min="15876" max="15876" width="20.42578125" style="181" customWidth="1"/>
    <col min="15877" max="15877" width="17.85546875" style="181" customWidth="1"/>
    <col min="15878" max="15878" width="18.42578125" style="181" customWidth="1"/>
    <col min="15879" max="15961" width="0" style="181" hidden="1" customWidth="1"/>
    <col min="15962" max="15962" width="9.140625" style="181"/>
    <col min="15963" max="15963" width="18.5703125" style="181" customWidth="1"/>
    <col min="15964" max="16127" width="9.140625" style="181"/>
    <col min="16128" max="16131" width="18.42578125" style="181" customWidth="1"/>
    <col min="16132" max="16132" width="20.42578125" style="181" customWidth="1"/>
    <col min="16133" max="16133" width="17.85546875" style="181" customWidth="1"/>
    <col min="16134" max="16134" width="18.42578125" style="181" customWidth="1"/>
    <col min="16135" max="16217" width="0" style="181" hidden="1" customWidth="1"/>
    <col min="16218" max="16218" width="9.140625" style="181"/>
    <col min="16219" max="16219" width="18.5703125" style="181" customWidth="1"/>
    <col min="16220" max="16384" width="9.140625" style="181"/>
  </cols>
  <sheetData>
    <row r="1" spans="1:7" s="180" customFormat="1" ht="16.5" x14ac:dyDescent="0.3">
      <c r="F1" s="536" t="s">
        <v>236</v>
      </c>
      <c r="G1" s="536"/>
    </row>
    <row r="2" spans="1:7" s="180" customFormat="1" ht="16.5" x14ac:dyDescent="0.3">
      <c r="F2" s="536" t="s">
        <v>13</v>
      </c>
      <c r="G2" s="536"/>
    </row>
    <row r="3" spans="1:7" s="180" customFormat="1" ht="16.5" x14ac:dyDescent="0.3">
      <c r="F3" s="536" t="s">
        <v>237</v>
      </c>
      <c r="G3" s="536"/>
    </row>
    <row r="4" spans="1:7" s="180" customFormat="1" ht="15.75" customHeight="1" x14ac:dyDescent="0.3">
      <c r="F4" s="316"/>
      <c r="G4" s="317"/>
    </row>
    <row r="5" spans="1:7" s="180" customFormat="1" ht="13.5" customHeight="1" x14ac:dyDescent="0.2">
      <c r="A5" s="537" t="s">
        <v>289</v>
      </c>
      <c r="B5" s="537"/>
      <c r="C5" s="537"/>
      <c r="D5" s="537"/>
      <c r="E5" s="537"/>
      <c r="F5" s="537"/>
      <c r="G5" s="537"/>
    </row>
    <row r="6" spans="1:7" s="180" customFormat="1" ht="27.75" customHeight="1" x14ac:dyDescent="0.2">
      <c r="A6" s="537"/>
      <c r="B6" s="537"/>
      <c r="C6" s="537"/>
      <c r="D6" s="537"/>
      <c r="E6" s="537"/>
      <c r="F6" s="537"/>
      <c r="G6" s="537"/>
    </row>
    <row r="7" spans="1:7" ht="15" x14ac:dyDescent="0.25">
      <c r="A7" s="182"/>
    </row>
    <row r="8" spans="1:7" ht="15" x14ac:dyDescent="0.25">
      <c r="A8" s="182"/>
    </row>
    <row r="9" spans="1:7" s="180" customFormat="1" ht="16.5" customHeight="1" x14ac:dyDescent="0.2">
      <c r="A9" s="532" t="s">
        <v>461</v>
      </c>
      <c r="B9" s="529" t="s">
        <v>178</v>
      </c>
      <c r="C9" s="526" t="s">
        <v>462</v>
      </c>
      <c r="D9" s="526" t="s">
        <v>450</v>
      </c>
      <c r="E9" s="526" t="s">
        <v>240</v>
      </c>
      <c r="F9" s="527" t="s">
        <v>451</v>
      </c>
      <c r="G9" s="527" t="s">
        <v>453</v>
      </c>
    </row>
    <row r="10" spans="1:7" s="180" customFormat="1" ht="96.75" customHeight="1" x14ac:dyDescent="0.2">
      <c r="A10" s="533"/>
      <c r="B10" s="530"/>
      <c r="C10" s="526"/>
      <c r="D10" s="526"/>
      <c r="E10" s="526"/>
      <c r="F10" s="535"/>
      <c r="G10" s="528"/>
    </row>
    <row r="11" spans="1:7" s="180" customFormat="1" ht="38.25" customHeight="1" x14ac:dyDescent="0.3">
      <c r="A11" s="534"/>
      <c r="B11" s="531"/>
      <c r="C11" s="526"/>
      <c r="D11" s="526"/>
      <c r="E11" s="526"/>
      <c r="F11" s="528"/>
      <c r="G11" s="319" t="s">
        <v>452</v>
      </c>
    </row>
    <row r="12" spans="1:7" s="180" customFormat="1" ht="16.5" x14ac:dyDescent="0.3">
      <c r="A12" s="320">
        <v>1</v>
      </c>
      <c r="B12" s="320">
        <v>2</v>
      </c>
      <c r="C12" s="320">
        <v>3</v>
      </c>
      <c r="D12" s="320">
        <v>4</v>
      </c>
      <c r="E12" s="320">
        <v>5</v>
      </c>
      <c r="F12" s="320">
        <v>6</v>
      </c>
      <c r="G12" s="320">
        <v>7</v>
      </c>
    </row>
    <row r="13" spans="1:7" s="180" customFormat="1" ht="16.5" x14ac:dyDescent="0.3">
      <c r="A13" s="523" t="s">
        <v>170</v>
      </c>
      <c r="B13" s="524"/>
      <c r="C13" s="524"/>
      <c r="D13" s="524"/>
      <c r="E13" s="524"/>
      <c r="F13" s="524"/>
      <c r="G13" s="525"/>
    </row>
    <row r="14" spans="1:7" s="180" customFormat="1" ht="40.5" customHeight="1" x14ac:dyDescent="0.3">
      <c r="A14" s="320" t="s">
        <v>464</v>
      </c>
      <c r="B14" s="320" t="s">
        <v>465</v>
      </c>
      <c r="C14" s="526" t="s">
        <v>466</v>
      </c>
      <c r="D14" s="526"/>
      <c r="E14" s="526" t="s">
        <v>467</v>
      </c>
      <c r="F14" s="526"/>
      <c r="G14" s="526"/>
    </row>
    <row r="15" spans="1:7" s="180" customFormat="1" ht="25.5" customHeight="1" x14ac:dyDescent="0.3">
      <c r="A15" s="320"/>
      <c r="B15" s="334" t="s">
        <v>470</v>
      </c>
      <c r="C15" s="334"/>
      <c r="D15" s="334"/>
      <c r="E15" s="334"/>
      <c r="F15" s="334"/>
      <c r="G15" s="546">
        <f>SUM(G16:CP122)</f>
        <v>5497352.7999999998</v>
      </c>
    </row>
    <row r="16" spans="1:7" s="180" customFormat="1" ht="16.5" x14ac:dyDescent="0.3">
      <c r="A16" s="321" t="s">
        <v>290</v>
      </c>
      <c r="B16" s="322" t="s">
        <v>457</v>
      </c>
      <c r="C16" s="320" t="s">
        <v>241</v>
      </c>
      <c r="D16" s="320" t="s">
        <v>291</v>
      </c>
      <c r="E16" s="320">
        <v>1</v>
      </c>
      <c r="F16" s="213">
        <f>SUM(G16*1000)</f>
        <v>-39380800</v>
      </c>
      <c r="G16" s="213">
        <v>-39380.800000000003</v>
      </c>
    </row>
    <row r="17" spans="1:7" s="180" customFormat="1" ht="49.5" x14ac:dyDescent="0.3">
      <c r="A17" s="321" t="s">
        <v>292</v>
      </c>
      <c r="B17" s="323" t="s">
        <v>293</v>
      </c>
      <c r="C17" s="320" t="s">
        <v>241</v>
      </c>
      <c r="D17" s="320" t="s">
        <v>291</v>
      </c>
      <c r="E17" s="320">
        <v>1</v>
      </c>
      <c r="F17" s="213">
        <f t="shared" ref="F17:F80" si="0">SUM(G17*1000)</f>
        <v>166700000</v>
      </c>
      <c r="G17" s="213">
        <v>166700</v>
      </c>
    </row>
    <row r="18" spans="1:7" s="180" customFormat="1" ht="33" x14ac:dyDescent="0.3">
      <c r="A18" s="321" t="s">
        <v>294</v>
      </c>
      <c r="B18" s="323" t="s">
        <v>295</v>
      </c>
      <c r="C18" s="320" t="s">
        <v>241</v>
      </c>
      <c r="D18" s="320" t="s">
        <v>291</v>
      </c>
      <c r="E18" s="320">
        <v>1</v>
      </c>
      <c r="F18" s="213">
        <f t="shared" si="0"/>
        <v>147870000</v>
      </c>
      <c r="G18" s="213">
        <v>147870</v>
      </c>
    </row>
    <row r="19" spans="1:7" s="180" customFormat="1" ht="16.5" customHeight="1" x14ac:dyDescent="0.3">
      <c r="A19" s="321" t="s">
        <v>296</v>
      </c>
      <c r="B19" s="323" t="s">
        <v>297</v>
      </c>
      <c r="C19" s="320" t="s">
        <v>241</v>
      </c>
      <c r="D19" s="320" t="s">
        <v>291</v>
      </c>
      <c r="E19" s="320">
        <v>1</v>
      </c>
      <c r="F19" s="213">
        <f t="shared" si="0"/>
        <v>241380000</v>
      </c>
      <c r="G19" s="213">
        <v>241380</v>
      </c>
    </row>
    <row r="20" spans="1:7" s="180" customFormat="1" ht="16.5" customHeight="1" x14ac:dyDescent="0.3">
      <c r="A20" s="321" t="s">
        <v>298</v>
      </c>
      <c r="B20" s="36" t="s">
        <v>299</v>
      </c>
      <c r="C20" s="320" t="s">
        <v>241</v>
      </c>
      <c r="D20" s="320" t="s">
        <v>291</v>
      </c>
      <c r="E20" s="320">
        <v>1</v>
      </c>
      <c r="F20" s="213">
        <f t="shared" si="0"/>
        <v>159650000</v>
      </c>
      <c r="G20" s="213">
        <v>159650</v>
      </c>
    </row>
    <row r="21" spans="1:7" s="180" customFormat="1" ht="33" x14ac:dyDescent="0.3">
      <c r="A21" s="321" t="s">
        <v>300</v>
      </c>
      <c r="B21" s="36" t="s">
        <v>301</v>
      </c>
      <c r="C21" s="320" t="s">
        <v>241</v>
      </c>
      <c r="D21" s="320" t="s">
        <v>291</v>
      </c>
      <c r="E21" s="320">
        <v>1</v>
      </c>
      <c r="F21" s="213">
        <f t="shared" si="0"/>
        <v>75440000</v>
      </c>
      <c r="G21" s="213">
        <v>75440</v>
      </c>
    </row>
    <row r="22" spans="1:7" s="180" customFormat="1" ht="31.5" customHeight="1" x14ac:dyDescent="0.3">
      <c r="A22" s="321" t="s">
        <v>302</v>
      </c>
      <c r="B22" s="324" t="s">
        <v>303</v>
      </c>
      <c r="C22" s="320" t="s">
        <v>241</v>
      </c>
      <c r="D22" s="320" t="s">
        <v>291</v>
      </c>
      <c r="E22" s="320">
        <v>1</v>
      </c>
      <c r="F22" s="213">
        <f t="shared" si="0"/>
        <v>64950000</v>
      </c>
      <c r="G22" s="213">
        <v>64950</v>
      </c>
    </row>
    <row r="23" spans="1:7" s="180" customFormat="1" ht="16.5" customHeight="1" x14ac:dyDescent="0.3">
      <c r="A23" s="321" t="s">
        <v>304</v>
      </c>
      <c r="B23" s="36" t="s">
        <v>305</v>
      </c>
      <c r="C23" s="320" t="s">
        <v>241</v>
      </c>
      <c r="D23" s="320" t="s">
        <v>291</v>
      </c>
      <c r="E23" s="320">
        <v>1</v>
      </c>
      <c r="F23" s="213">
        <f t="shared" si="0"/>
        <v>857170000</v>
      </c>
      <c r="G23" s="213">
        <v>857170</v>
      </c>
    </row>
    <row r="24" spans="1:7" s="180" customFormat="1" ht="16.5" customHeight="1" x14ac:dyDescent="0.3">
      <c r="A24" s="321" t="s">
        <v>306</v>
      </c>
      <c r="B24" s="36" t="s">
        <v>307</v>
      </c>
      <c r="C24" s="320" t="s">
        <v>241</v>
      </c>
      <c r="D24" s="320" t="s">
        <v>291</v>
      </c>
      <c r="E24" s="320">
        <v>1</v>
      </c>
      <c r="F24" s="213">
        <f t="shared" si="0"/>
        <v>348000000</v>
      </c>
      <c r="G24" s="213">
        <v>348000</v>
      </c>
    </row>
    <row r="25" spans="1:7" s="180" customFormat="1" ht="33" x14ac:dyDescent="0.3">
      <c r="A25" s="321" t="s">
        <v>308</v>
      </c>
      <c r="B25" s="323" t="s">
        <v>309</v>
      </c>
      <c r="C25" s="320" t="s">
        <v>241</v>
      </c>
      <c r="D25" s="320" t="s">
        <v>291</v>
      </c>
      <c r="E25" s="320">
        <v>1</v>
      </c>
      <c r="F25" s="213">
        <f t="shared" si="0"/>
        <v>2020000</v>
      </c>
      <c r="G25" s="213">
        <v>2020</v>
      </c>
    </row>
    <row r="26" spans="1:7" s="180" customFormat="1" ht="33" x14ac:dyDescent="0.3">
      <c r="A26" s="321" t="s">
        <v>310</v>
      </c>
      <c r="B26" s="46" t="s">
        <v>311</v>
      </c>
      <c r="C26" s="320" t="s">
        <v>241</v>
      </c>
      <c r="D26" s="320" t="s">
        <v>291</v>
      </c>
      <c r="E26" s="320">
        <v>1</v>
      </c>
      <c r="F26" s="213">
        <f t="shared" si="0"/>
        <v>28330000</v>
      </c>
      <c r="G26" s="213">
        <v>28330</v>
      </c>
    </row>
    <row r="27" spans="1:7" s="180" customFormat="1" ht="33" x14ac:dyDescent="0.3">
      <c r="A27" s="321" t="s">
        <v>312</v>
      </c>
      <c r="B27" s="323" t="s">
        <v>313</v>
      </c>
      <c r="C27" s="320" t="s">
        <v>241</v>
      </c>
      <c r="D27" s="320" t="s">
        <v>291</v>
      </c>
      <c r="E27" s="320">
        <v>1</v>
      </c>
      <c r="F27" s="213">
        <f t="shared" si="0"/>
        <v>1471000000</v>
      </c>
      <c r="G27" s="213">
        <v>1471000</v>
      </c>
    </row>
    <row r="28" spans="1:7" s="180" customFormat="1" ht="33" x14ac:dyDescent="0.3">
      <c r="A28" s="321" t="s">
        <v>314</v>
      </c>
      <c r="B28" s="322" t="s">
        <v>315</v>
      </c>
      <c r="C28" s="320" t="s">
        <v>241</v>
      </c>
      <c r="D28" s="320" t="s">
        <v>291</v>
      </c>
      <c r="E28" s="320">
        <v>1</v>
      </c>
      <c r="F28" s="213">
        <f t="shared" si="0"/>
        <v>209170000</v>
      </c>
      <c r="G28" s="213">
        <v>209170</v>
      </c>
    </row>
    <row r="29" spans="1:7" s="180" customFormat="1" ht="49.5" x14ac:dyDescent="0.3">
      <c r="A29" s="321" t="s">
        <v>316</v>
      </c>
      <c r="B29" s="322" t="s">
        <v>317</v>
      </c>
      <c r="C29" s="320" t="s">
        <v>241</v>
      </c>
      <c r="D29" s="320" t="s">
        <v>291</v>
      </c>
      <c r="E29" s="320">
        <v>1</v>
      </c>
      <c r="F29" s="213">
        <f t="shared" si="0"/>
        <v>39220000</v>
      </c>
      <c r="G29" s="213">
        <v>39220</v>
      </c>
    </row>
    <row r="30" spans="1:7" s="180" customFormat="1" ht="33" x14ac:dyDescent="0.3">
      <c r="A30" s="321" t="s">
        <v>318</v>
      </c>
      <c r="B30" s="325" t="s">
        <v>78</v>
      </c>
      <c r="C30" s="320" t="s">
        <v>241</v>
      </c>
      <c r="D30" s="320" t="s">
        <v>291</v>
      </c>
      <c r="E30" s="320">
        <v>1</v>
      </c>
      <c r="F30" s="213">
        <f t="shared" si="0"/>
        <v>12630000</v>
      </c>
      <c r="G30" s="213">
        <v>12630</v>
      </c>
    </row>
    <row r="31" spans="1:7" s="180" customFormat="1" ht="49.5" x14ac:dyDescent="0.3">
      <c r="A31" s="321" t="s">
        <v>319</v>
      </c>
      <c r="B31" s="325" t="s">
        <v>79</v>
      </c>
      <c r="C31" s="320" t="s">
        <v>241</v>
      </c>
      <c r="D31" s="320" t="s">
        <v>291</v>
      </c>
      <c r="E31" s="320">
        <v>1</v>
      </c>
      <c r="F31" s="213">
        <f t="shared" si="0"/>
        <v>79900000</v>
      </c>
      <c r="G31" s="213">
        <v>79900</v>
      </c>
    </row>
    <row r="32" spans="1:7" s="180" customFormat="1" ht="16.5" customHeight="1" x14ac:dyDescent="0.3">
      <c r="A32" s="321" t="s">
        <v>308</v>
      </c>
      <c r="B32" s="325" t="s">
        <v>40</v>
      </c>
      <c r="C32" s="320" t="s">
        <v>241</v>
      </c>
      <c r="D32" s="320" t="s">
        <v>291</v>
      </c>
      <c r="E32" s="320">
        <v>1</v>
      </c>
      <c r="F32" s="213">
        <f t="shared" si="0"/>
        <v>29970000</v>
      </c>
      <c r="G32" s="213">
        <v>29970</v>
      </c>
    </row>
    <row r="33" spans="1:92" s="180" customFormat="1" ht="16.5" customHeight="1" x14ac:dyDescent="0.3">
      <c r="A33" s="321" t="s">
        <v>320</v>
      </c>
      <c r="B33" s="325" t="s">
        <v>41</v>
      </c>
      <c r="C33" s="320" t="s">
        <v>241</v>
      </c>
      <c r="D33" s="320" t="s">
        <v>291</v>
      </c>
      <c r="E33" s="320">
        <v>1</v>
      </c>
      <c r="F33" s="213">
        <f t="shared" si="0"/>
        <v>9300000</v>
      </c>
      <c r="G33" s="213">
        <v>9300</v>
      </c>
    </row>
    <row r="34" spans="1:92" s="180" customFormat="1" ht="16.5" x14ac:dyDescent="0.3">
      <c r="A34" s="321" t="s">
        <v>321</v>
      </c>
      <c r="B34" s="325" t="s">
        <v>42</v>
      </c>
      <c r="C34" s="320" t="s">
        <v>241</v>
      </c>
      <c r="D34" s="320" t="s">
        <v>291</v>
      </c>
      <c r="E34" s="320">
        <v>1</v>
      </c>
      <c r="F34" s="213">
        <f t="shared" si="0"/>
        <v>104960000</v>
      </c>
      <c r="G34" s="213">
        <v>104960</v>
      </c>
    </row>
    <row r="35" spans="1:92" s="180" customFormat="1" ht="16.5" customHeight="1" x14ac:dyDescent="0.3">
      <c r="A35" s="321" t="s">
        <v>322</v>
      </c>
      <c r="B35" s="325" t="s">
        <v>43</v>
      </c>
      <c r="C35" s="320" t="s">
        <v>241</v>
      </c>
      <c r="D35" s="320" t="s">
        <v>291</v>
      </c>
      <c r="E35" s="320">
        <v>1</v>
      </c>
      <c r="F35" s="213">
        <f t="shared" si="0"/>
        <v>200740000</v>
      </c>
      <c r="G35" s="213">
        <v>200740</v>
      </c>
    </row>
    <row r="36" spans="1:92" s="180" customFormat="1" ht="16.5" customHeight="1" x14ac:dyDescent="0.3">
      <c r="A36" s="321" t="s">
        <v>323</v>
      </c>
      <c r="B36" s="325" t="s">
        <v>44</v>
      </c>
      <c r="C36" s="320" t="s">
        <v>241</v>
      </c>
      <c r="D36" s="320" t="s">
        <v>291</v>
      </c>
      <c r="E36" s="320">
        <v>1</v>
      </c>
      <c r="F36" s="213">
        <f t="shared" si="0"/>
        <v>177910000</v>
      </c>
      <c r="G36" s="213">
        <v>177910</v>
      </c>
    </row>
    <row r="37" spans="1:92" s="180" customFormat="1" ht="16.5" customHeight="1" x14ac:dyDescent="0.3">
      <c r="A37" s="321" t="s">
        <v>324</v>
      </c>
      <c r="B37" s="325" t="s">
        <v>45</v>
      </c>
      <c r="C37" s="320" t="s">
        <v>241</v>
      </c>
      <c r="D37" s="320" t="s">
        <v>291</v>
      </c>
      <c r="E37" s="320">
        <v>1</v>
      </c>
      <c r="F37" s="213">
        <f t="shared" si="0"/>
        <v>297370000</v>
      </c>
      <c r="G37" s="213">
        <v>297370</v>
      </c>
    </row>
    <row r="38" spans="1:92" s="180" customFormat="1" ht="33" x14ac:dyDescent="0.3">
      <c r="A38" s="321" t="s">
        <v>325</v>
      </c>
      <c r="B38" s="325" t="s">
        <v>46</v>
      </c>
      <c r="C38" s="320" t="s">
        <v>241</v>
      </c>
      <c r="D38" s="320" t="s">
        <v>291</v>
      </c>
      <c r="E38" s="320">
        <v>1</v>
      </c>
      <c r="F38" s="213">
        <f t="shared" si="0"/>
        <v>35100000</v>
      </c>
      <c r="G38" s="213">
        <v>35100</v>
      </c>
    </row>
    <row r="39" spans="1:92" s="180" customFormat="1" ht="16.5" x14ac:dyDescent="0.3">
      <c r="A39" s="321" t="s">
        <v>326</v>
      </c>
      <c r="B39" s="325" t="s">
        <v>47</v>
      </c>
      <c r="C39" s="320" t="s">
        <v>241</v>
      </c>
      <c r="D39" s="320" t="s">
        <v>291</v>
      </c>
      <c r="E39" s="320">
        <v>1</v>
      </c>
      <c r="F39" s="213">
        <f t="shared" si="0"/>
        <v>225190000</v>
      </c>
      <c r="G39" s="213">
        <v>225190</v>
      </c>
    </row>
    <row r="40" spans="1:92" s="180" customFormat="1" ht="33" x14ac:dyDescent="0.3">
      <c r="A40" s="321" t="s">
        <v>327</v>
      </c>
      <c r="B40" s="325" t="s">
        <v>119</v>
      </c>
      <c r="C40" s="320" t="s">
        <v>241</v>
      </c>
      <c r="D40" s="320" t="s">
        <v>291</v>
      </c>
      <c r="E40" s="320">
        <v>1</v>
      </c>
      <c r="F40" s="213">
        <f t="shared" si="0"/>
        <v>90000000</v>
      </c>
      <c r="G40" s="213">
        <v>90000</v>
      </c>
    </row>
    <row r="41" spans="1:92" s="180" customFormat="1" ht="33" x14ac:dyDescent="0.3">
      <c r="A41" s="321" t="s">
        <v>328</v>
      </c>
      <c r="B41" s="325" t="s">
        <v>120</v>
      </c>
      <c r="C41" s="320" t="s">
        <v>241</v>
      </c>
      <c r="D41" s="320" t="s">
        <v>291</v>
      </c>
      <c r="E41" s="320">
        <v>1</v>
      </c>
      <c r="F41" s="213">
        <f t="shared" si="0"/>
        <v>218800000</v>
      </c>
      <c r="G41" s="213">
        <v>218800</v>
      </c>
    </row>
    <row r="42" spans="1:92" s="180" customFormat="1" ht="16.5" x14ac:dyDescent="0.3">
      <c r="A42" s="321" t="s">
        <v>329</v>
      </c>
      <c r="B42" s="325" t="s">
        <v>121</v>
      </c>
      <c r="C42" s="320" t="s">
        <v>241</v>
      </c>
      <c r="D42" s="320" t="s">
        <v>291</v>
      </c>
      <c r="E42" s="320">
        <v>1</v>
      </c>
      <c r="F42" s="213">
        <f t="shared" si="0"/>
        <v>120733000</v>
      </c>
      <c r="G42" s="213">
        <v>120733</v>
      </c>
      <c r="CN42" s="326"/>
    </row>
    <row r="43" spans="1:92" s="180" customFormat="1" ht="16.5" x14ac:dyDescent="0.3">
      <c r="A43" s="320"/>
      <c r="B43" s="327" t="s">
        <v>330</v>
      </c>
      <c r="C43" s="320"/>
      <c r="D43" s="320"/>
      <c r="E43" s="320">
        <v>1</v>
      </c>
      <c r="F43" s="213">
        <f t="shared" si="0"/>
        <v>0</v>
      </c>
      <c r="G43" s="213"/>
      <c r="CM43" s="319"/>
    </row>
    <row r="44" spans="1:92" s="330" customFormat="1" ht="16.5" x14ac:dyDescent="0.3">
      <c r="A44" s="328"/>
      <c r="B44" s="329" t="s">
        <v>331</v>
      </c>
      <c r="C44" s="328"/>
      <c r="D44" s="328"/>
      <c r="E44" s="320">
        <v>1</v>
      </c>
      <c r="F44" s="213">
        <f t="shared" si="0"/>
        <v>0</v>
      </c>
      <c r="G44" s="213"/>
    </row>
    <row r="45" spans="1:92" ht="16.5" x14ac:dyDescent="0.3">
      <c r="A45" s="331" t="s">
        <v>332</v>
      </c>
      <c r="B45" s="323" t="s">
        <v>458</v>
      </c>
      <c r="C45" s="320" t="s">
        <v>241</v>
      </c>
      <c r="D45" s="320" t="s">
        <v>291</v>
      </c>
      <c r="E45" s="320">
        <v>1</v>
      </c>
      <c r="F45" s="213">
        <f t="shared" si="0"/>
        <v>-5661200</v>
      </c>
      <c r="G45" s="213">
        <v>-5661.2</v>
      </c>
      <c r="CM45" s="332"/>
    </row>
    <row r="46" spans="1:92" s="180" customFormat="1" ht="49.5" x14ac:dyDescent="0.3">
      <c r="A46" s="331" t="s">
        <v>333</v>
      </c>
      <c r="B46" s="323" t="s">
        <v>293</v>
      </c>
      <c r="C46" s="320" t="s">
        <v>241</v>
      </c>
      <c r="D46" s="320" t="s">
        <v>291</v>
      </c>
      <c r="E46" s="320">
        <v>1</v>
      </c>
      <c r="F46" s="213">
        <f t="shared" si="0"/>
        <v>1667000</v>
      </c>
      <c r="G46" s="213">
        <v>1667</v>
      </c>
    </row>
    <row r="47" spans="1:92" s="180" customFormat="1" ht="33" x14ac:dyDescent="0.3">
      <c r="A47" s="331" t="s">
        <v>334</v>
      </c>
      <c r="B47" s="323" t="s">
        <v>295</v>
      </c>
      <c r="C47" s="320" t="s">
        <v>241</v>
      </c>
      <c r="D47" s="320" t="s">
        <v>291</v>
      </c>
      <c r="E47" s="320">
        <v>1</v>
      </c>
      <c r="F47" s="213">
        <f t="shared" si="0"/>
        <v>4500000</v>
      </c>
      <c r="G47" s="213">
        <v>4500</v>
      </c>
    </row>
    <row r="48" spans="1:92" s="180" customFormat="1" ht="33" x14ac:dyDescent="0.3">
      <c r="A48" s="331" t="s">
        <v>335</v>
      </c>
      <c r="B48" s="323" t="s">
        <v>297</v>
      </c>
      <c r="C48" s="320" t="s">
        <v>241</v>
      </c>
      <c r="D48" s="320" t="s">
        <v>291</v>
      </c>
      <c r="E48" s="320">
        <v>1</v>
      </c>
      <c r="F48" s="213">
        <f t="shared" si="0"/>
        <v>2640000</v>
      </c>
      <c r="G48" s="213">
        <v>2640</v>
      </c>
    </row>
    <row r="49" spans="1:7" s="180" customFormat="1" ht="49.5" x14ac:dyDescent="0.3">
      <c r="A49" s="331" t="s">
        <v>336</v>
      </c>
      <c r="B49" s="36" t="s">
        <v>299</v>
      </c>
      <c r="C49" s="320" t="s">
        <v>241</v>
      </c>
      <c r="D49" s="320" t="s">
        <v>291</v>
      </c>
      <c r="E49" s="320">
        <v>1</v>
      </c>
      <c r="F49" s="213">
        <f t="shared" si="0"/>
        <v>1330000</v>
      </c>
      <c r="G49" s="213">
        <v>1330</v>
      </c>
    </row>
    <row r="50" spans="1:7" s="180" customFormat="1" ht="33" x14ac:dyDescent="0.3">
      <c r="A50" s="331" t="s">
        <v>337</v>
      </c>
      <c r="B50" s="36" t="s">
        <v>301</v>
      </c>
      <c r="C50" s="320" t="s">
        <v>241</v>
      </c>
      <c r="D50" s="320" t="s">
        <v>291</v>
      </c>
      <c r="E50" s="320">
        <v>1</v>
      </c>
      <c r="F50" s="213">
        <f t="shared" si="0"/>
        <v>750000</v>
      </c>
      <c r="G50" s="213">
        <v>750</v>
      </c>
    </row>
    <row r="51" spans="1:7" s="180" customFormat="1" ht="49.5" x14ac:dyDescent="0.3">
      <c r="A51" s="331" t="s">
        <v>338</v>
      </c>
      <c r="B51" s="324" t="s">
        <v>303</v>
      </c>
      <c r="C51" s="320" t="s">
        <v>241</v>
      </c>
      <c r="D51" s="320" t="s">
        <v>291</v>
      </c>
      <c r="E51" s="320">
        <v>1</v>
      </c>
      <c r="F51" s="213">
        <f t="shared" si="0"/>
        <v>650000</v>
      </c>
      <c r="G51" s="213">
        <v>650</v>
      </c>
    </row>
    <row r="52" spans="1:7" s="180" customFormat="1" ht="49.5" x14ac:dyDescent="0.3">
      <c r="A52" s="331" t="s">
        <v>339</v>
      </c>
      <c r="B52" s="36" t="s">
        <v>305</v>
      </c>
      <c r="C52" s="320" t="s">
        <v>241</v>
      </c>
      <c r="D52" s="320" t="s">
        <v>291</v>
      </c>
      <c r="E52" s="320">
        <v>1</v>
      </c>
      <c r="F52" s="213">
        <f t="shared" si="0"/>
        <v>8570000</v>
      </c>
      <c r="G52" s="213">
        <v>8570</v>
      </c>
    </row>
    <row r="53" spans="1:7" s="180" customFormat="1" ht="49.5" x14ac:dyDescent="0.3">
      <c r="A53" s="331" t="s">
        <v>340</v>
      </c>
      <c r="B53" s="36" t="s">
        <v>307</v>
      </c>
      <c r="C53" s="320" t="s">
        <v>241</v>
      </c>
      <c r="D53" s="320" t="s">
        <v>291</v>
      </c>
      <c r="E53" s="320">
        <v>1</v>
      </c>
      <c r="F53" s="213">
        <f t="shared" si="0"/>
        <v>3480000</v>
      </c>
      <c r="G53" s="213">
        <v>3480</v>
      </c>
    </row>
    <row r="54" spans="1:7" s="180" customFormat="1" ht="33" x14ac:dyDescent="0.3">
      <c r="A54" s="331" t="s">
        <v>341</v>
      </c>
      <c r="B54" s="323" t="s">
        <v>309</v>
      </c>
      <c r="C54" s="320" t="s">
        <v>241</v>
      </c>
      <c r="D54" s="320" t="s">
        <v>291</v>
      </c>
      <c r="E54" s="320">
        <v>1</v>
      </c>
      <c r="F54" s="213">
        <f t="shared" si="0"/>
        <v>20000</v>
      </c>
      <c r="G54" s="213">
        <v>20</v>
      </c>
    </row>
    <row r="55" spans="1:7" s="180" customFormat="1" ht="33" x14ac:dyDescent="0.3">
      <c r="A55" s="331" t="s">
        <v>342</v>
      </c>
      <c r="B55" s="46" t="s">
        <v>311</v>
      </c>
      <c r="C55" s="320" t="s">
        <v>241</v>
      </c>
      <c r="D55" s="320" t="s">
        <v>291</v>
      </c>
      <c r="E55" s="320">
        <v>1</v>
      </c>
      <c r="F55" s="213">
        <f t="shared" si="0"/>
        <v>280000</v>
      </c>
      <c r="G55" s="213">
        <v>280</v>
      </c>
    </row>
    <row r="56" spans="1:7" s="180" customFormat="1" ht="33" x14ac:dyDescent="0.3">
      <c r="A56" s="331" t="s">
        <v>343</v>
      </c>
      <c r="B56" s="323" t="s">
        <v>313</v>
      </c>
      <c r="C56" s="320" t="s">
        <v>241</v>
      </c>
      <c r="D56" s="320" t="s">
        <v>291</v>
      </c>
      <c r="E56" s="320">
        <v>1</v>
      </c>
      <c r="F56" s="213">
        <f t="shared" si="0"/>
        <v>15000000</v>
      </c>
      <c r="G56" s="213">
        <v>15000</v>
      </c>
    </row>
    <row r="57" spans="1:7" s="180" customFormat="1" ht="33" x14ac:dyDescent="0.3">
      <c r="A57" s="331" t="s">
        <v>344</v>
      </c>
      <c r="B57" s="322" t="s">
        <v>315</v>
      </c>
      <c r="C57" s="320" t="s">
        <v>241</v>
      </c>
      <c r="D57" s="320" t="s">
        <v>291</v>
      </c>
      <c r="E57" s="320">
        <v>1</v>
      </c>
      <c r="F57" s="213">
        <f t="shared" si="0"/>
        <v>2090000</v>
      </c>
      <c r="G57" s="213">
        <v>2090</v>
      </c>
    </row>
    <row r="58" spans="1:7" s="180" customFormat="1" ht="49.5" x14ac:dyDescent="0.3">
      <c r="A58" s="331" t="s">
        <v>345</v>
      </c>
      <c r="B58" s="322" t="s">
        <v>317</v>
      </c>
      <c r="C58" s="320" t="s">
        <v>241</v>
      </c>
      <c r="D58" s="320" t="s">
        <v>291</v>
      </c>
      <c r="E58" s="320">
        <v>1</v>
      </c>
      <c r="F58" s="213">
        <f t="shared" si="0"/>
        <v>310000</v>
      </c>
      <c r="G58" s="213">
        <v>310</v>
      </c>
    </row>
    <row r="59" spans="1:7" s="180" customFormat="1" ht="33" x14ac:dyDescent="0.3">
      <c r="A59" s="331" t="s">
        <v>346</v>
      </c>
      <c r="B59" s="325" t="s">
        <v>78</v>
      </c>
      <c r="C59" s="320" t="s">
        <v>241</v>
      </c>
      <c r="D59" s="320" t="s">
        <v>291</v>
      </c>
      <c r="E59" s="320">
        <v>1</v>
      </c>
      <c r="F59" s="213">
        <f t="shared" si="0"/>
        <v>130000</v>
      </c>
      <c r="G59" s="213">
        <v>130</v>
      </c>
    </row>
    <row r="60" spans="1:7" s="180" customFormat="1" ht="49.5" x14ac:dyDescent="0.3">
      <c r="A60" s="331" t="s">
        <v>347</v>
      </c>
      <c r="B60" s="325" t="s">
        <v>79</v>
      </c>
      <c r="C60" s="320" t="s">
        <v>241</v>
      </c>
      <c r="D60" s="320" t="s">
        <v>291</v>
      </c>
      <c r="E60" s="320">
        <v>1</v>
      </c>
      <c r="F60" s="213">
        <f t="shared" si="0"/>
        <v>800000</v>
      </c>
      <c r="G60" s="213">
        <v>800</v>
      </c>
    </row>
    <row r="61" spans="1:7" s="180" customFormat="1" ht="33" x14ac:dyDescent="0.3">
      <c r="A61" s="331" t="s">
        <v>348</v>
      </c>
      <c r="B61" s="325" t="s">
        <v>40</v>
      </c>
      <c r="C61" s="320" t="s">
        <v>241</v>
      </c>
      <c r="D61" s="320" t="s">
        <v>291</v>
      </c>
      <c r="E61" s="320">
        <v>1</v>
      </c>
      <c r="F61" s="213">
        <f t="shared" si="0"/>
        <v>300000</v>
      </c>
      <c r="G61" s="213">
        <v>300</v>
      </c>
    </row>
    <row r="62" spans="1:7" s="180" customFormat="1" ht="33" x14ac:dyDescent="0.3">
      <c r="A62" s="331" t="s">
        <v>349</v>
      </c>
      <c r="B62" s="325" t="s">
        <v>41</v>
      </c>
      <c r="C62" s="320" t="s">
        <v>241</v>
      </c>
      <c r="D62" s="320" t="s">
        <v>291</v>
      </c>
      <c r="E62" s="320">
        <v>1</v>
      </c>
      <c r="F62" s="213">
        <f t="shared" si="0"/>
        <v>90000</v>
      </c>
      <c r="G62" s="213">
        <v>90</v>
      </c>
    </row>
    <row r="63" spans="1:7" s="180" customFormat="1" ht="16.5" x14ac:dyDescent="0.3">
      <c r="A63" s="331" t="s">
        <v>350</v>
      </c>
      <c r="B63" s="325" t="s">
        <v>42</v>
      </c>
      <c r="C63" s="320" t="s">
        <v>241</v>
      </c>
      <c r="D63" s="320" t="s">
        <v>291</v>
      </c>
      <c r="E63" s="320">
        <v>1</v>
      </c>
      <c r="F63" s="213">
        <f t="shared" si="0"/>
        <v>1180000</v>
      </c>
      <c r="G63" s="213">
        <v>1180</v>
      </c>
    </row>
    <row r="64" spans="1:7" s="180" customFormat="1" ht="33" x14ac:dyDescent="0.3">
      <c r="A64" s="331" t="s">
        <v>351</v>
      </c>
      <c r="B64" s="325" t="s">
        <v>43</v>
      </c>
      <c r="C64" s="320" t="s">
        <v>241</v>
      </c>
      <c r="D64" s="320" t="s">
        <v>291</v>
      </c>
      <c r="E64" s="320">
        <v>1</v>
      </c>
      <c r="F64" s="213">
        <f t="shared" si="0"/>
        <v>2010000</v>
      </c>
      <c r="G64" s="213">
        <v>2010</v>
      </c>
    </row>
    <row r="65" spans="1:7" s="180" customFormat="1" ht="33" x14ac:dyDescent="0.3">
      <c r="A65" s="331" t="s">
        <v>352</v>
      </c>
      <c r="B65" s="325" t="s">
        <v>44</v>
      </c>
      <c r="C65" s="320" t="s">
        <v>241</v>
      </c>
      <c r="D65" s="320" t="s">
        <v>291</v>
      </c>
      <c r="E65" s="320">
        <v>1</v>
      </c>
      <c r="F65" s="213">
        <f t="shared" si="0"/>
        <v>1780000</v>
      </c>
      <c r="G65" s="213">
        <v>1780</v>
      </c>
    </row>
    <row r="66" spans="1:7" s="180" customFormat="1" ht="33" x14ac:dyDescent="0.3">
      <c r="A66" s="331" t="s">
        <v>353</v>
      </c>
      <c r="B66" s="325" t="s">
        <v>45</v>
      </c>
      <c r="C66" s="320" t="s">
        <v>241</v>
      </c>
      <c r="D66" s="320" t="s">
        <v>291</v>
      </c>
      <c r="E66" s="320">
        <v>1</v>
      </c>
      <c r="F66" s="213">
        <f t="shared" si="0"/>
        <v>3000000</v>
      </c>
      <c r="G66" s="213">
        <v>3000</v>
      </c>
    </row>
    <row r="67" spans="1:7" s="180" customFormat="1" ht="33" x14ac:dyDescent="0.3">
      <c r="A67" s="331" t="s">
        <v>354</v>
      </c>
      <c r="B67" s="325" t="s">
        <v>46</v>
      </c>
      <c r="C67" s="320" t="s">
        <v>241</v>
      </c>
      <c r="D67" s="320" t="s">
        <v>291</v>
      </c>
      <c r="E67" s="320">
        <v>1</v>
      </c>
      <c r="F67" s="213">
        <f t="shared" si="0"/>
        <v>350000</v>
      </c>
      <c r="G67" s="213">
        <v>350</v>
      </c>
    </row>
    <row r="68" spans="1:7" s="180" customFormat="1" ht="16.5" x14ac:dyDescent="0.3">
      <c r="A68" s="331" t="s">
        <v>355</v>
      </c>
      <c r="B68" s="325" t="s">
        <v>47</v>
      </c>
      <c r="C68" s="320" t="s">
        <v>241</v>
      </c>
      <c r="D68" s="320" t="s">
        <v>291</v>
      </c>
      <c r="E68" s="320">
        <v>1</v>
      </c>
      <c r="F68" s="213">
        <f t="shared" si="0"/>
        <v>3610000</v>
      </c>
      <c r="G68" s="213">
        <v>3610</v>
      </c>
    </row>
    <row r="69" spans="1:7" s="180" customFormat="1" ht="33" x14ac:dyDescent="0.3">
      <c r="A69" s="331" t="s">
        <v>356</v>
      </c>
      <c r="B69" s="325" t="s">
        <v>119</v>
      </c>
      <c r="C69" s="320" t="s">
        <v>241</v>
      </c>
      <c r="D69" s="320" t="s">
        <v>291</v>
      </c>
      <c r="E69" s="320">
        <v>1</v>
      </c>
      <c r="F69" s="213">
        <f t="shared" si="0"/>
        <v>900000</v>
      </c>
      <c r="G69" s="213">
        <v>900</v>
      </c>
    </row>
    <row r="70" spans="1:7" s="180" customFormat="1" ht="33" x14ac:dyDescent="0.3">
      <c r="A70" s="331" t="s">
        <v>357</v>
      </c>
      <c r="B70" s="325" t="s">
        <v>120</v>
      </c>
      <c r="C70" s="320" t="s">
        <v>241</v>
      </c>
      <c r="D70" s="320" t="s">
        <v>291</v>
      </c>
      <c r="E70" s="320">
        <v>1</v>
      </c>
      <c r="F70" s="213">
        <f t="shared" si="0"/>
        <v>1690000</v>
      </c>
      <c r="G70" s="213">
        <v>1690</v>
      </c>
    </row>
    <row r="71" spans="1:7" s="180" customFormat="1" ht="16.5" x14ac:dyDescent="0.3">
      <c r="A71" s="331" t="s">
        <v>358</v>
      </c>
      <c r="B71" s="325" t="s">
        <v>121</v>
      </c>
      <c r="C71" s="320" t="s">
        <v>241</v>
      </c>
      <c r="D71" s="320" t="s">
        <v>291</v>
      </c>
      <c r="E71" s="320">
        <v>1</v>
      </c>
      <c r="F71" s="213">
        <f t="shared" si="0"/>
        <v>1500000</v>
      </c>
      <c r="G71" s="213">
        <v>1500</v>
      </c>
    </row>
    <row r="72" spans="1:7" s="180" customFormat="1" ht="16.5" x14ac:dyDescent="0.3">
      <c r="A72" s="320"/>
      <c r="B72" s="320" t="s">
        <v>359</v>
      </c>
      <c r="C72" s="320"/>
      <c r="D72" s="320"/>
      <c r="E72" s="320"/>
      <c r="F72" s="213">
        <f t="shared" si="0"/>
        <v>0</v>
      </c>
      <c r="G72" s="213"/>
    </row>
    <row r="73" spans="1:7" s="180" customFormat="1" ht="16.5" x14ac:dyDescent="0.3">
      <c r="A73" s="320" t="s">
        <v>360</v>
      </c>
      <c r="B73" s="320" t="s">
        <v>459</v>
      </c>
      <c r="C73" s="320" t="s">
        <v>361</v>
      </c>
      <c r="D73" s="320" t="s">
        <v>291</v>
      </c>
      <c r="E73" s="320"/>
      <c r="F73" s="213">
        <f t="shared" si="0"/>
        <v>-2305200</v>
      </c>
      <c r="G73" s="213">
        <v>-2305.1999999999998</v>
      </c>
    </row>
    <row r="74" spans="1:7" s="180" customFormat="1" ht="49.5" x14ac:dyDescent="0.3">
      <c r="A74" s="320" t="s">
        <v>362</v>
      </c>
      <c r="B74" s="36" t="s">
        <v>293</v>
      </c>
      <c r="C74" s="320" t="s">
        <v>361</v>
      </c>
      <c r="D74" s="320" t="s">
        <v>291</v>
      </c>
      <c r="E74" s="320">
        <v>1</v>
      </c>
      <c r="F74" s="213">
        <f t="shared" si="0"/>
        <v>1010000</v>
      </c>
      <c r="G74" s="213">
        <v>1010</v>
      </c>
    </row>
    <row r="75" spans="1:7" s="180" customFormat="1" ht="49.5" x14ac:dyDescent="0.3">
      <c r="A75" s="320" t="s">
        <v>363</v>
      </c>
      <c r="B75" s="36" t="s">
        <v>364</v>
      </c>
      <c r="C75" s="320" t="s">
        <v>361</v>
      </c>
      <c r="D75" s="320" t="s">
        <v>291</v>
      </c>
      <c r="E75" s="320">
        <v>1</v>
      </c>
      <c r="F75" s="213">
        <f t="shared" si="0"/>
        <v>310000</v>
      </c>
      <c r="G75" s="213">
        <v>310</v>
      </c>
    </row>
    <row r="76" spans="1:7" s="180" customFormat="1" ht="33" x14ac:dyDescent="0.3">
      <c r="A76" s="320" t="s">
        <v>365</v>
      </c>
      <c r="B76" s="36" t="s">
        <v>295</v>
      </c>
      <c r="C76" s="320" t="s">
        <v>361</v>
      </c>
      <c r="D76" s="320" t="s">
        <v>291</v>
      </c>
      <c r="E76" s="320">
        <v>1</v>
      </c>
      <c r="F76" s="213">
        <f t="shared" si="0"/>
        <v>1260000</v>
      </c>
      <c r="G76" s="213">
        <v>1260</v>
      </c>
    </row>
    <row r="77" spans="1:7" s="180" customFormat="1" ht="33" x14ac:dyDescent="0.3">
      <c r="A77" s="320" t="s">
        <v>366</v>
      </c>
      <c r="B77" s="36" t="s">
        <v>297</v>
      </c>
      <c r="C77" s="320" t="s">
        <v>361</v>
      </c>
      <c r="D77" s="320" t="s">
        <v>291</v>
      </c>
      <c r="E77" s="320">
        <v>1</v>
      </c>
      <c r="F77" s="213">
        <f t="shared" si="0"/>
        <v>1590000</v>
      </c>
      <c r="G77" s="213">
        <v>1590</v>
      </c>
    </row>
    <row r="78" spans="1:7" s="180" customFormat="1" ht="49.5" x14ac:dyDescent="0.3">
      <c r="A78" s="320" t="s">
        <v>367</v>
      </c>
      <c r="B78" s="36" t="s">
        <v>299</v>
      </c>
      <c r="C78" s="320" t="s">
        <v>361</v>
      </c>
      <c r="D78" s="320" t="s">
        <v>291</v>
      </c>
      <c r="E78" s="320">
        <v>1</v>
      </c>
      <c r="F78" s="213">
        <f t="shared" si="0"/>
        <v>960000</v>
      </c>
      <c r="G78" s="213">
        <v>960</v>
      </c>
    </row>
    <row r="79" spans="1:7" s="180" customFormat="1" ht="33" x14ac:dyDescent="0.3">
      <c r="A79" s="320" t="s">
        <v>368</v>
      </c>
      <c r="B79" s="36" t="s">
        <v>301</v>
      </c>
      <c r="C79" s="320" t="s">
        <v>361</v>
      </c>
      <c r="D79" s="320" t="s">
        <v>291</v>
      </c>
      <c r="E79" s="320">
        <v>1</v>
      </c>
      <c r="F79" s="213">
        <f t="shared" si="0"/>
        <v>450000</v>
      </c>
      <c r="G79" s="213">
        <v>450</v>
      </c>
    </row>
    <row r="80" spans="1:7" s="180" customFormat="1" ht="49.5" x14ac:dyDescent="0.3">
      <c r="A80" s="320" t="s">
        <v>369</v>
      </c>
      <c r="B80" s="36" t="s">
        <v>303</v>
      </c>
      <c r="C80" s="320" t="s">
        <v>361</v>
      </c>
      <c r="D80" s="320" t="s">
        <v>291</v>
      </c>
      <c r="E80" s="320">
        <v>1</v>
      </c>
      <c r="F80" s="213">
        <f t="shared" si="0"/>
        <v>390000</v>
      </c>
      <c r="G80" s="213">
        <v>390</v>
      </c>
    </row>
    <row r="81" spans="1:7" s="180" customFormat="1" ht="49.5" x14ac:dyDescent="0.3">
      <c r="A81" s="320" t="s">
        <v>370</v>
      </c>
      <c r="B81" s="36" t="s">
        <v>371</v>
      </c>
      <c r="C81" s="320" t="s">
        <v>361</v>
      </c>
      <c r="D81" s="320" t="s">
        <v>291</v>
      </c>
      <c r="E81" s="320">
        <v>1</v>
      </c>
      <c r="F81" s="213">
        <f t="shared" ref="F81:F145" si="1">SUM(G81*1000)</f>
        <v>5140000</v>
      </c>
      <c r="G81" s="213">
        <v>5140</v>
      </c>
    </row>
    <row r="82" spans="1:7" s="180" customFormat="1" ht="49.5" x14ac:dyDescent="0.3">
      <c r="A82" s="320" t="s">
        <v>372</v>
      </c>
      <c r="B82" s="36" t="s">
        <v>373</v>
      </c>
      <c r="C82" s="320" t="s">
        <v>361</v>
      </c>
      <c r="D82" s="320" t="s">
        <v>291</v>
      </c>
      <c r="E82" s="320">
        <v>1</v>
      </c>
      <c r="F82" s="213">
        <f t="shared" si="1"/>
        <v>2090000</v>
      </c>
      <c r="G82" s="213">
        <v>2090</v>
      </c>
    </row>
    <row r="83" spans="1:7" s="180" customFormat="1" ht="49.5" x14ac:dyDescent="0.3">
      <c r="A83" s="320" t="s">
        <v>374</v>
      </c>
      <c r="B83" s="36" t="s">
        <v>375</v>
      </c>
      <c r="C83" s="320" t="s">
        <v>361</v>
      </c>
      <c r="D83" s="320" t="s">
        <v>291</v>
      </c>
      <c r="E83" s="320">
        <v>1</v>
      </c>
      <c r="F83" s="213">
        <f t="shared" si="1"/>
        <v>110000</v>
      </c>
      <c r="G83" s="213">
        <v>110</v>
      </c>
    </row>
    <row r="84" spans="1:7" s="180" customFormat="1" ht="33" x14ac:dyDescent="0.3">
      <c r="A84" s="320" t="s">
        <v>376</v>
      </c>
      <c r="B84" s="36" t="s">
        <v>377</v>
      </c>
      <c r="C84" s="320" t="s">
        <v>361</v>
      </c>
      <c r="D84" s="320" t="s">
        <v>291</v>
      </c>
      <c r="E84" s="320">
        <v>1</v>
      </c>
      <c r="F84" s="213">
        <f t="shared" si="1"/>
        <v>10000</v>
      </c>
      <c r="G84" s="213">
        <v>10</v>
      </c>
    </row>
    <row r="85" spans="1:7" s="180" customFormat="1" ht="33" x14ac:dyDescent="0.3">
      <c r="A85" s="320" t="s">
        <v>378</v>
      </c>
      <c r="B85" s="36" t="s">
        <v>379</v>
      </c>
      <c r="C85" s="320" t="s">
        <v>361</v>
      </c>
      <c r="D85" s="320" t="s">
        <v>291</v>
      </c>
      <c r="E85" s="320">
        <v>1</v>
      </c>
      <c r="F85" s="213">
        <f t="shared" si="1"/>
        <v>170000</v>
      </c>
      <c r="G85" s="213">
        <v>170</v>
      </c>
    </row>
    <row r="86" spans="1:7" s="180" customFormat="1" ht="33" x14ac:dyDescent="0.3">
      <c r="A86" s="320" t="s">
        <v>380</v>
      </c>
      <c r="B86" s="36" t="s">
        <v>381</v>
      </c>
      <c r="C86" s="320" t="s">
        <v>361</v>
      </c>
      <c r="D86" s="320" t="s">
        <v>291</v>
      </c>
      <c r="E86" s="320">
        <v>1</v>
      </c>
      <c r="F86" s="213">
        <f t="shared" si="1"/>
        <v>9000000</v>
      </c>
      <c r="G86" s="213">
        <v>9000</v>
      </c>
    </row>
    <row r="87" spans="1:7" s="180" customFormat="1" ht="33" x14ac:dyDescent="0.3">
      <c r="A87" s="320" t="s">
        <v>382</v>
      </c>
      <c r="B87" s="36" t="s">
        <v>383</v>
      </c>
      <c r="C87" s="320" t="s">
        <v>361</v>
      </c>
      <c r="D87" s="320" t="s">
        <v>291</v>
      </c>
      <c r="E87" s="320">
        <v>1</v>
      </c>
      <c r="F87" s="213">
        <f t="shared" si="1"/>
        <v>1260000</v>
      </c>
      <c r="G87" s="213">
        <v>1260</v>
      </c>
    </row>
    <row r="88" spans="1:7" s="180" customFormat="1" ht="33" x14ac:dyDescent="0.3">
      <c r="A88" s="320" t="s">
        <v>384</v>
      </c>
      <c r="B88" s="36" t="s">
        <v>385</v>
      </c>
      <c r="C88" s="320" t="s">
        <v>361</v>
      </c>
      <c r="D88" s="320" t="s">
        <v>291</v>
      </c>
      <c r="E88" s="320">
        <v>1</v>
      </c>
      <c r="F88" s="213">
        <f t="shared" si="1"/>
        <v>1260000</v>
      </c>
      <c r="G88" s="213">
        <v>1260</v>
      </c>
    </row>
    <row r="89" spans="1:7" s="180" customFormat="1" ht="49.5" x14ac:dyDescent="0.3">
      <c r="A89" s="320" t="s">
        <v>386</v>
      </c>
      <c r="B89" s="36" t="s">
        <v>317</v>
      </c>
      <c r="C89" s="320" t="s">
        <v>361</v>
      </c>
      <c r="D89" s="320" t="s">
        <v>291</v>
      </c>
      <c r="E89" s="320">
        <v>1</v>
      </c>
      <c r="F89" s="213">
        <f t="shared" si="1"/>
        <v>190000</v>
      </c>
      <c r="G89" s="213">
        <v>190</v>
      </c>
    </row>
    <row r="90" spans="1:7" s="180" customFormat="1" ht="49.5" x14ac:dyDescent="0.3">
      <c r="A90" s="320" t="s">
        <v>387</v>
      </c>
      <c r="B90" s="36" t="s">
        <v>388</v>
      </c>
      <c r="C90" s="320" t="s">
        <v>361</v>
      </c>
      <c r="D90" s="320" t="s">
        <v>291</v>
      </c>
      <c r="E90" s="320">
        <v>1</v>
      </c>
      <c r="F90" s="213">
        <f t="shared" si="1"/>
        <v>390000</v>
      </c>
      <c r="G90" s="213">
        <v>390</v>
      </c>
    </row>
    <row r="91" spans="1:7" s="180" customFormat="1" ht="49.5" x14ac:dyDescent="0.3">
      <c r="A91" s="320" t="s">
        <v>389</v>
      </c>
      <c r="B91" s="37" t="s">
        <v>117</v>
      </c>
      <c r="C91" s="320" t="s">
        <v>361</v>
      </c>
      <c r="D91" s="320" t="s">
        <v>291</v>
      </c>
      <c r="E91" s="320">
        <v>1</v>
      </c>
      <c r="F91" s="213">
        <f t="shared" si="1"/>
        <v>480000</v>
      </c>
      <c r="G91" s="213">
        <v>480</v>
      </c>
    </row>
    <row r="92" spans="1:7" s="180" customFormat="1" ht="33" x14ac:dyDescent="0.3">
      <c r="A92" s="320" t="s">
        <v>390</v>
      </c>
      <c r="B92" s="37" t="s">
        <v>40</v>
      </c>
      <c r="C92" s="320" t="s">
        <v>361</v>
      </c>
      <c r="D92" s="320" t="s">
        <v>291</v>
      </c>
      <c r="E92" s="320">
        <v>1</v>
      </c>
      <c r="F92" s="213">
        <f t="shared" si="1"/>
        <v>180000</v>
      </c>
      <c r="G92" s="213">
        <v>180</v>
      </c>
    </row>
    <row r="93" spans="1:7" s="180" customFormat="1" ht="33" x14ac:dyDescent="0.3">
      <c r="A93" s="320" t="s">
        <v>391</v>
      </c>
      <c r="B93" s="37" t="s">
        <v>41</v>
      </c>
      <c r="C93" s="320" t="s">
        <v>361</v>
      </c>
      <c r="D93" s="320" t="s">
        <v>291</v>
      </c>
      <c r="E93" s="320">
        <v>1</v>
      </c>
      <c r="F93" s="213">
        <f t="shared" si="1"/>
        <v>600000</v>
      </c>
      <c r="G93" s="213">
        <v>600</v>
      </c>
    </row>
    <row r="94" spans="1:7" s="180" customFormat="1" ht="16.5" x14ac:dyDescent="0.3">
      <c r="A94" s="320" t="s">
        <v>392</v>
      </c>
      <c r="B94" s="37" t="s">
        <v>42</v>
      </c>
      <c r="C94" s="320" t="s">
        <v>361</v>
      </c>
      <c r="D94" s="320" t="s">
        <v>291</v>
      </c>
      <c r="E94" s="320">
        <v>1</v>
      </c>
      <c r="F94" s="213">
        <f t="shared" si="1"/>
        <v>710000</v>
      </c>
      <c r="G94" s="213">
        <v>710</v>
      </c>
    </row>
    <row r="95" spans="1:7" s="180" customFormat="1" ht="33" x14ac:dyDescent="0.3">
      <c r="A95" s="320" t="s">
        <v>393</v>
      </c>
      <c r="B95" s="37" t="s">
        <v>43</v>
      </c>
      <c r="C95" s="320" t="s">
        <v>361</v>
      </c>
      <c r="D95" s="320" t="s">
        <v>291</v>
      </c>
      <c r="E95" s="320">
        <v>1</v>
      </c>
      <c r="F95" s="213">
        <f t="shared" si="1"/>
        <v>1210000</v>
      </c>
      <c r="G95" s="213">
        <v>1210</v>
      </c>
    </row>
    <row r="96" spans="1:7" s="180" customFormat="1" ht="33" x14ac:dyDescent="0.3">
      <c r="A96" s="320" t="s">
        <v>394</v>
      </c>
      <c r="B96" s="37" t="s">
        <v>44</v>
      </c>
      <c r="C96" s="320" t="s">
        <v>361</v>
      </c>
      <c r="D96" s="320" t="s">
        <v>291</v>
      </c>
      <c r="E96" s="320">
        <v>1</v>
      </c>
      <c r="F96" s="213">
        <f t="shared" si="1"/>
        <v>1180000</v>
      </c>
      <c r="G96" s="213">
        <v>1180</v>
      </c>
    </row>
    <row r="97" spans="1:7" s="180" customFormat="1" ht="33" x14ac:dyDescent="0.3">
      <c r="A97" s="320" t="s">
        <v>395</v>
      </c>
      <c r="B97" s="37" t="s">
        <v>45</v>
      </c>
      <c r="C97" s="320" t="s">
        <v>361</v>
      </c>
      <c r="D97" s="320" t="s">
        <v>291</v>
      </c>
      <c r="E97" s="320">
        <v>1</v>
      </c>
      <c r="F97" s="213">
        <f t="shared" si="1"/>
        <v>1790000</v>
      </c>
      <c r="G97" s="213">
        <v>1790</v>
      </c>
    </row>
    <row r="98" spans="1:7" s="180" customFormat="1" ht="49.5" x14ac:dyDescent="0.3">
      <c r="A98" s="320" t="s">
        <v>396</v>
      </c>
      <c r="B98" s="37" t="s">
        <v>118</v>
      </c>
      <c r="C98" s="320" t="s">
        <v>361</v>
      </c>
      <c r="D98" s="320" t="s">
        <v>291</v>
      </c>
      <c r="E98" s="320">
        <v>1</v>
      </c>
      <c r="F98" s="213">
        <f t="shared" si="1"/>
        <v>80000</v>
      </c>
      <c r="G98" s="213">
        <v>80</v>
      </c>
    </row>
    <row r="99" spans="1:7" s="180" customFormat="1" ht="33" x14ac:dyDescent="0.3">
      <c r="A99" s="320" t="s">
        <v>397</v>
      </c>
      <c r="B99" s="37" t="s">
        <v>46</v>
      </c>
      <c r="C99" s="320" t="s">
        <v>361</v>
      </c>
      <c r="D99" s="320" t="s">
        <v>291</v>
      </c>
      <c r="E99" s="320">
        <v>1</v>
      </c>
      <c r="F99" s="213">
        <f t="shared" si="1"/>
        <v>210000</v>
      </c>
      <c r="G99" s="213">
        <v>210</v>
      </c>
    </row>
    <row r="100" spans="1:7" s="180" customFormat="1" ht="16.5" x14ac:dyDescent="0.3">
      <c r="A100" s="320" t="s">
        <v>398</v>
      </c>
      <c r="B100" s="37" t="s">
        <v>47</v>
      </c>
      <c r="C100" s="320" t="s">
        <v>361</v>
      </c>
      <c r="D100" s="320" t="s">
        <v>291</v>
      </c>
      <c r="E100" s="320">
        <v>1</v>
      </c>
      <c r="F100" s="213">
        <f t="shared" si="1"/>
        <v>2160000</v>
      </c>
      <c r="G100" s="213">
        <v>2160</v>
      </c>
    </row>
    <row r="101" spans="1:7" s="180" customFormat="1" ht="49.5" x14ac:dyDescent="0.3">
      <c r="A101" s="320" t="s">
        <v>399</v>
      </c>
      <c r="B101" s="37" t="s">
        <v>119</v>
      </c>
      <c r="C101" s="320" t="s">
        <v>361</v>
      </c>
      <c r="D101" s="320" t="s">
        <v>291</v>
      </c>
      <c r="E101" s="320">
        <v>1</v>
      </c>
      <c r="F101" s="213">
        <f t="shared" si="1"/>
        <v>540000</v>
      </c>
      <c r="G101" s="213">
        <v>540</v>
      </c>
    </row>
    <row r="102" spans="1:7" s="180" customFormat="1" ht="33" x14ac:dyDescent="0.3">
      <c r="A102" s="320" t="s">
        <v>400</v>
      </c>
      <c r="B102" s="37" t="s">
        <v>120</v>
      </c>
      <c r="C102" s="320" t="s">
        <v>361</v>
      </c>
      <c r="D102" s="320" t="s">
        <v>291</v>
      </c>
      <c r="E102" s="320">
        <v>1</v>
      </c>
      <c r="F102" s="213">
        <f t="shared" si="1"/>
        <v>1300000</v>
      </c>
      <c r="G102" s="213">
        <v>1300</v>
      </c>
    </row>
    <row r="103" spans="1:7" s="180" customFormat="1" ht="16.5" x14ac:dyDescent="0.3">
      <c r="A103" s="320" t="s">
        <v>401</v>
      </c>
      <c r="B103" s="37" t="s">
        <v>121</v>
      </c>
      <c r="C103" s="320" t="s">
        <v>361</v>
      </c>
      <c r="D103" s="320" t="s">
        <v>291</v>
      </c>
      <c r="E103" s="320">
        <v>1</v>
      </c>
      <c r="F103" s="213">
        <f t="shared" si="1"/>
        <v>900000</v>
      </c>
      <c r="G103" s="213">
        <v>900</v>
      </c>
    </row>
    <row r="104" spans="1:7" s="180" customFormat="1" ht="16.5" x14ac:dyDescent="0.3">
      <c r="A104" s="320"/>
      <c r="B104" s="37" t="s">
        <v>454</v>
      </c>
      <c r="C104" s="320"/>
      <c r="D104" s="320"/>
      <c r="E104" s="320"/>
      <c r="F104" s="213">
        <f t="shared" si="1"/>
        <v>0</v>
      </c>
      <c r="G104" s="213"/>
    </row>
    <row r="105" spans="1:7" s="180" customFormat="1" ht="16.5" x14ac:dyDescent="0.3">
      <c r="A105" s="320" t="s">
        <v>402</v>
      </c>
      <c r="B105" s="37" t="s">
        <v>403</v>
      </c>
      <c r="C105" s="320" t="s">
        <v>241</v>
      </c>
      <c r="D105" s="320" t="s">
        <v>291</v>
      </c>
      <c r="E105" s="320">
        <v>1</v>
      </c>
      <c r="F105" s="213">
        <f t="shared" si="1"/>
        <v>-38270000</v>
      </c>
      <c r="G105" s="213">
        <v>-38270</v>
      </c>
    </row>
    <row r="106" spans="1:7" s="180" customFormat="1" ht="49.5" x14ac:dyDescent="0.3">
      <c r="A106" s="320" t="s">
        <v>404</v>
      </c>
      <c r="B106" s="36" t="s">
        <v>405</v>
      </c>
      <c r="C106" s="320" t="s">
        <v>406</v>
      </c>
      <c r="D106" s="320" t="s">
        <v>291</v>
      </c>
      <c r="E106" s="320">
        <v>1</v>
      </c>
      <c r="F106" s="213">
        <f t="shared" si="1"/>
        <v>350000</v>
      </c>
      <c r="G106" s="213">
        <v>350</v>
      </c>
    </row>
    <row r="107" spans="1:7" s="180" customFormat="1" ht="16.5" x14ac:dyDescent="0.3">
      <c r="A107" s="320" t="s">
        <v>407</v>
      </c>
      <c r="B107" s="36" t="s">
        <v>408</v>
      </c>
      <c r="C107" s="320" t="s">
        <v>406</v>
      </c>
      <c r="D107" s="320" t="s">
        <v>291</v>
      </c>
      <c r="E107" s="320">
        <v>1</v>
      </c>
      <c r="F107" s="213">
        <f t="shared" si="1"/>
        <v>37900000</v>
      </c>
      <c r="G107" s="213">
        <v>37900</v>
      </c>
    </row>
    <row r="108" spans="1:7" s="180" customFormat="1" ht="49.5" x14ac:dyDescent="0.3">
      <c r="A108" s="320" t="s">
        <v>409</v>
      </c>
      <c r="B108" s="36" t="s">
        <v>410</v>
      </c>
      <c r="C108" s="320" t="s">
        <v>406</v>
      </c>
      <c r="D108" s="320" t="s">
        <v>291</v>
      </c>
      <c r="E108" s="320">
        <v>1</v>
      </c>
      <c r="F108" s="213">
        <f t="shared" si="1"/>
        <v>1900000</v>
      </c>
      <c r="G108" s="213">
        <v>1900</v>
      </c>
    </row>
    <row r="109" spans="1:7" s="180" customFormat="1" ht="33" x14ac:dyDescent="0.3">
      <c r="A109" s="320" t="s">
        <v>411</v>
      </c>
      <c r="B109" s="36" t="s">
        <v>132</v>
      </c>
      <c r="C109" s="320" t="s">
        <v>406</v>
      </c>
      <c r="D109" s="320" t="s">
        <v>291</v>
      </c>
      <c r="E109" s="320">
        <v>1</v>
      </c>
      <c r="F109" s="213">
        <f t="shared" si="1"/>
        <v>200000</v>
      </c>
      <c r="G109" s="213">
        <v>200</v>
      </c>
    </row>
    <row r="110" spans="1:7" s="180" customFormat="1" ht="33" x14ac:dyDescent="0.3">
      <c r="A110" s="320" t="s">
        <v>412</v>
      </c>
      <c r="B110" s="36" t="s">
        <v>133</v>
      </c>
      <c r="C110" s="320" t="s">
        <v>406</v>
      </c>
      <c r="D110" s="320" t="s">
        <v>291</v>
      </c>
      <c r="E110" s="320">
        <v>1</v>
      </c>
      <c r="F110" s="213">
        <f t="shared" si="1"/>
        <v>7000000</v>
      </c>
      <c r="G110" s="213">
        <v>7000</v>
      </c>
    </row>
    <row r="111" spans="1:7" s="180" customFormat="1" ht="33" x14ac:dyDescent="0.3">
      <c r="A111" s="320" t="s">
        <v>413</v>
      </c>
      <c r="B111" s="36" t="s">
        <v>134</v>
      </c>
      <c r="C111" s="320" t="s">
        <v>406</v>
      </c>
      <c r="D111" s="320" t="s">
        <v>291</v>
      </c>
      <c r="E111" s="320">
        <v>1</v>
      </c>
      <c r="F111" s="213">
        <f t="shared" si="1"/>
        <v>3600000</v>
      </c>
      <c r="G111" s="213">
        <v>3600</v>
      </c>
    </row>
    <row r="112" spans="1:7" s="180" customFormat="1" ht="33" x14ac:dyDescent="0.3">
      <c r="A112" s="320" t="s">
        <v>414</v>
      </c>
      <c r="B112" s="36" t="s">
        <v>135</v>
      </c>
      <c r="C112" s="320" t="s">
        <v>406</v>
      </c>
      <c r="D112" s="320" t="s">
        <v>291</v>
      </c>
      <c r="E112" s="320">
        <v>1</v>
      </c>
      <c r="F112" s="213">
        <f t="shared" si="1"/>
        <v>1300000</v>
      </c>
      <c r="G112" s="213">
        <v>1300</v>
      </c>
    </row>
    <row r="113" spans="1:7" s="180" customFormat="1" ht="33" x14ac:dyDescent="0.3">
      <c r="A113" s="320" t="s">
        <v>415</v>
      </c>
      <c r="B113" s="36" t="s">
        <v>136</v>
      </c>
      <c r="C113" s="320" t="s">
        <v>406</v>
      </c>
      <c r="D113" s="320" t="s">
        <v>291</v>
      </c>
      <c r="E113" s="320">
        <v>1</v>
      </c>
      <c r="F113" s="213">
        <f t="shared" si="1"/>
        <v>3370000</v>
      </c>
      <c r="G113" s="213">
        <v>3370</v>
      </c>
    </row>
    <row r="114" spans="1:7" s="180" customFormat="1" ht="49.5" x14ac:dyDescent="0.3">
      <c r="A114" s="320" t="s">
        <v>416</v>
      </c>
      <c r="B114" s="36" t="s">
        <v>137</v>
      </c>
      <c r="C114" s="320" t="s">
        <v>406</v>
      </c>
      <c r="D114" s="320" t="s">
        <v>291</v>
      </c>
      <c r="E114" s="320">
        <v>1</v>
      </c>
      <c r="F114" s="213">
        <f t="shared" si="1"/>
        <v>2400000</v>
      </c>
      <c r="G114" s="213">
        <v>2400</v>
      </c>
    </row>
    <row r="115" spans="1:7" s="180" customFormat="1" ht="33" x14ac:dyDescent="0.3">
      <c r="A115" s="320" t="s">
        <v>417</v>
      </c>
      <c r="B115" s="36" t="s">
        <v>138</v>
      </c>
      <c r="C115" s="320" t="s">
        <v>406</v>
      </c>
      <c r="D115" s="320" t="s">
        <v>291</v>
      </c>
      <c r="E115" s="320">
        <v>1</v>
      </c>
      <c r="F115" s="213">
        <f t="shared" si="1"/>
        <v>2200000</v>
      </c>
      <c r="G115" s="213">
        <v>2200</v>
      </c>
    </row>
    <row r="116" spans="1:7" s="180" customFormat="1" ht="33" x14ac:dyDescent="0.3">
      <c r="A116" s="320" t="s">
        <v>418</v>
      </c>
      <c r="B116" s="36" t="s">
        <v>139</v>
      </c>
      <c r="C116" s="320" t="s">
        <v>406</v>
      </c>
      <c r="D116" s="320" t="s">
        <v>291</v>
      </c>
      <c r="E116" s="320">
        <v>1</v>
      </c>
      <c r="F116" s="213">
        <f t="shared" si="1"/>
        <v>1130000</v>
      </c>
      <c r="G116" s="213">
        <v>1130</v>
      </c>
    </row>
    <row r="117" spans="1:7" s="180" customFormat="1" ht="33" x14ac:dyDescent="0.3">
      <c r="A117" s="320" t="s">
        <v>419</v>
      </c>
      <c r="B117" s="36" t="s">
        <v>140</v>
      </c>
      <c r="C117" s="320" t="s">
        <v>406</v>
      </c>
      <c r="D117" s="320" t="s">
        <v>291</v>
      </c>
      <c r="E117" s="320">
        <v>1</v>
      </c>
      <c r="F117" s="213">
        <f t="shared" si="1"/>
        <v>700000</v>
      </c>
      <c r="G117" s="213">
        <v>700</v>
      </c>
    </row>
    <row r="118" spans="1:7" s="180" customFormat="1" ht="33" x14ac:dyDescent="0.3">
      <c r="A118" s="320" t="s">
        <v>420</v>
      </c>
      <c r="B118" s="36" t="s">
        <v>141</v>
      </c>
      <c r="C118" s="320" t="s">
        <v>406</v>
      </c>
      <c r="D118" s="320" t="s">
        <v>291</v>
      </c>
      <c r="E118" s="320">
        <v>1</v>
      </c>
      <c r="F118" s="213">
        <f t="shared" si="1"/>
        <v>1360000</v>
      </c>
      <c r="G118" s="213">
        <v>1360</v>
      </c>
    </row>
    <row r="119" spans="1:7" s="180" customFormat="1" ht="33" x14ac:dyDescent="0.3">
      <c r="A119" s="320" t="s">
        <v>421</v>
      </c>
      <c r="B119" s="36" t="s">
        <v>142</v>
      </c>
      <c r="C119" s="320" t="s">
        <v>406</v>
      </c>
      <c r="D119" s="320" t="s">
        <v>291</v>
      </c>
      <c r="E119" s="320">
        <v>1</v>
      </c>
      <c r="F119" s="213">
        <f t="shared" si="1"/>
        <v>1300000</v>
      </c>
      <c r="G119" s="213">
        <v>1300</v>
      </c>
    </row>
    <row r="120" spans="1:7" s="180" customFormat="1" ht="33" x14ac:dyDescent="0.3">
      <c r="A120" s="320" t="s">
        <v>422</v>
      </c>
      <c r="B120" s="36" t="s">
        <v>143</v>
      </c>
      <c r="C120" s="320" t="s">
        <v>406</v>
      </c>
      <c r="D120" s="320" t="s">
        <v>291</v>
      </c>
      <c r="E120" s="320">
        <v>1</v>
      </c>
      <c r="F120" s="213">
        <f t="shared" si="1"/>
        <v>1500000</v>
      </c>
      <c r="G120" s="213">
        <v>1500</v>
      </c>
    </row>
    <row r="121" spans="1:7" s="180" customFormat="1" ht="33" x14ac:dyDescent="0.3">
      <c r="A121" s="320" t="s">
        <v>423</v>
      </c>
      <c r="B121" s="36" t="s">
        <v>144</v>
      </c>
      <c r="C121" s="320" t="s">
        <v>406</v>
      </c>
      <c r="D121" s="320" t="s">
        <v>291</v>
      </c>
      <c r="E121" s="320">
        <v>1</v>
      </c>
      <c r="F121" s="213">
        <f t="shared" si="1"/>
        <v>6000000</v>
      </c>
      <c r="G121" s="213">
        <v>6000</v>
      </c>
    </row>
    <row r="122" spans="1:7" s="180" customFormat="1" ht="33" x14ac:dyDescent="0.3">
      <c r="A122" s="320" t="s">
        <v>424</v>
      </c>
      <c r="B122" s="36" t="s">
        <v>145</v>
      </c>
      <c r="C122" s="320" t="s">
        <v>406</v>
      </c>
      <c r="D122" s="320" t="s">
        <v>291</v>
      </c>
      <c r="E122" s="320">
        <v>1</v>
      </c>
      <c r="F122" s="213">
        <f t="shared" si="1"/>
        <v>1700000</v>
      </c>
      <c r="G122" s="213">
        <v>1700</v>
      </c>
    </row>
    <row r="123" spans="1:7" s="180" customFormat="1" ht="40.5" customHeight="1" x14ac:dyDescent="0.3">
      <c r="A123" s="320" t="s">
        <v>464</v>
      </c>
      <c r="B123" s="320" t="s">
        <v>465</v>
      </c>
      <c r="C123" s="543" t="s">
        <v>466</v>
      </c>
      <c r="D123" s="545"/>
      <c r="E123" s="543" t="s">
        <v>468</v>
      </c>
      <c r="F123" s="544"/>
      <c r="G123" s="545"/>
    </row>
    <row r="124" spans="1:7" s="180" customFormat="1" ht="22.5" customHeight="1" x14ac:dyDescent="0.3">
      <c r="A124" s="320"/>
      <c r="B124" s="320" t="s">
        <v>470</v>
      </c>
      <c r="C124" s="320"/>
      <c r="D124" s="320"/>
      <c r="E124" s="320"/>
      <c r="F124" s="320"/>
      <c r="G124" s="546">
        <f>SUM(G126:G159)</f>
        <v>342982.5</v>
      </c>
    </row>
    <row r="125" spans="1:7" s="180" customFormat="1" ht="16.5" x14ac:dyDescent="0.3">
      <c r="A125" s="320"/>
      <c r="B125" s="184" t="s">
        <v>238</v>
      </c>
      <c r="C125" s="184"/>
      <c r="D125" s="184"/>
      <c r="E125" s="184"/>
      <c r="F125" s="213">
        <f t="shared" si="1"/>
        <v>0</v>
      </c>
      <c r="G125" s="333"/>
    </row>
    <row r="126" spans="1:7" s="180" customFormat="1" ht="33" x14ac:dyDescent="0.3">
      <c r="A126" s="320" t="s">
        <v>242</v>
      </c>
      <c r="B126" s="184" t="s">
        <v>455</v>
      </c>
      <c r="C126" s="184"/>
      <c r="D126" s="184"/>
      <c r="E126" s="184"/>
      <c r="F126" s="213">
        <f t="shared" si="1"/>
        <v>-244500</v>
      </c>
      <c r="G126" s="213">
        <v>-244.5</v>
      </c>
    </row>
    <row r="127" spans="1:7" s="180" customFormat="1" ht="49.5" x14ac:dyDescent="0.3">
      <c r="A127" s="320" t="s">
        <v>425</v>
      </c>
      <c r="B127" s="27" t="s">
        <v>51</v>
      </c>
      <c r="C127" s="183" t="s">
        <v>241</v>
      </c>
      <c r="D127" s="183" t="s">
        <v>239</v>
      </c>
      <c r="E127" s="183"/>
      <c r="F127" s="213">
        <f t="shared" si="1"/>
        <v>99830000</v>
      </c>
      <c r="G127" s="213">
        <v>99830</v>
      </c>
    </row>
    <row r="128" spans="1:7" s="180" customFormat="1" ht="33" x14ac:dyDescent="0.3">
      <c r="A128" s="320" t="s">
        <v>426</v>
      </c>
      <c r="B128" s="27" t="s">
        <v>52</v>
      </c>
      <c r="C128" s="183" t="s">
        <v>241</v>
      </c>
      <c r="D128" s="183" t="s">
        <v>239</v>
      </c>
      <c r="E128" s="183"/>
      <c r="F128" s="213">
        <f t="shared" si="1"/>
        <v>57200000</v>
      </c>
      <c r="G128" s="213">
        <v>57200</v>
      </c>
    </row>
    <row r="129" spans="1:7" s="180" customFormat="1" ht="33" x14ac:dyDescent="0.3">
      <c r="A129" s="320" t="s">
        <v>427</v>
      </c>
      <c r="B129" s="27" t="s">
        <v>53</v>
      </c>
      <c r="C129" s="183" t="s">
        <v>241</v>
      </c>
      <c r="D129" s="183" t="s">
        <v>239</v>
      </c>
      <c r="E129" s="183"/>
      <c r="F129" s="213">
        <f t="shared" si="1"/>
        <v>22680000</v>
      </c>
      <c r="G129" s="213">
        <v>22680</v>
      </c>
    </row>
    <row r="130" spans="1:7" s="180" customFormat="1" ht="49.5" x14ac:dyDescent="0.3">
      <c r="A130" s="320" t="s">
        <v>428</v>
      </c>
      <c r="B130" s="27" t="s">
        <v>82</v>
      </c>
      <c r="C130" s="183" t="s">
        <v>241</v>
      </c>
      <c r="D130" s="183" t="s">
        <v>239</v>
      </c>
      <c r="E130" s="183"/>
      <c r="F130" s="213">
        <f t="shared" si="1"/>
        <v>23440000</v>
      </c>
      <c r="G130" s="213">
        <v>23440</v>
      </c>
    </row>
    <row r="131" spans="1:7" s="180" customFormat="1" ht="49.5" x14ac:dyDescent="0.3">
      <c r="A131" s="320" t="s">
        <v>429</v>
      </c>
      <c r="B131" s="27" t="s">
        <v>54</v>
      </c>
      <c r="C131" s="183" t="s">
        <v>241</v>
      </c>
      <c r="D131" s="183" t="s">
        <v>239</v>
      </c>
      <c r="E131" s="183"/>
      <c r="F131" s="213">
        <f t="shared" si="1"/>
        <v>15740000</v>
      </c>
      <c r="G131" s="213">
        <v>15740</v>
      </c>
    </row>
    <row r="132" spans="1:7" s="180" customFormat="1" ht="49.5" x14ac:dyDescent="0.3">
      <c r="A132" s="320" t="s">
        <v>430</v>
      </c>
      <c r="B132" s="27" t="s">
        <v>55</v>
      </c>
      <c r="C132" s="183" t="s">
        <v>241</v>
      </c>
      <c r="D132" s="183" t="s">
        <v>239</v>
      </c>
      <c r="E132" s="183"/>
      <c r="F132" s="213">
        <f t="shared" si="1"/>
        <v>25120000</v>
      </c>
      <c r="G132" s="213">
        <v>25120</v>
      </c>
    </row>
    <row r="133" spans="1:7" s="180" customFormat="1" ht="33" x14ac:dyDescent="0.3">
      <c r="A133" s="320" t="s">
        <v>431</v>
      </c>
      <c r="B133" s="27" t="s">
        <v>56</v>
      </c>
      <c r="C133" s="183" t="s">
        <v>241</v>
      </c>
      <c r="D133" s="183" t="s">
        <v>239</v>
      </c>
      <c r="E133" s="183"/>
      <c r="F133" s="213">
        <f t="shared" si="1"/>
        <v>59860000</v>
      </c>
      <c r="G133" s="213">
        <v>59860</v>
      </c>
    </row>
    <row r="134" spans="1:7" s="180" customFormat="1" ht="33" x14ac:dyDescent="0.3">
      <c r="A134" s="320" t="s">
        <v>432</v>
      </c>
      <c r="B134" s="27" t="s">
        <v>126</v>
      </c>
      <c r="C134" s="183" t="s">
        <v>241</v>
      </c>
      <c r="D134" s="183" t="s">
        <v>239</v>
      </c>
      <c r="E134" s="183"/>
      <c r="F134" s="213">
        <f t="shared" si="1"/>
        <v>7560000</v>
      </c>
      <c r="G134" s="213">
        <v>7560</v>
      </c>
    </row>
    <row r="135" spans="1:7" s="180" customFormat="1" ht="16.5" x14ac:dyDescent="0.3">
      <c r="A135" s="320"/>
      <c r="B135" s="27" t="s">
        <v>433</v>
      </c>
      <c r="C135" s="184"/>
      <c r="D135" s="184"/>
      <c r="E135" s="184"/>
      <c r="F135" s="213">
        <f t="shared" si="1"/>
        <v>0</v>
      </c>
      <c r="G135" s="213"/>
    </row>
    <row r="136" spans="1:7" s="180" customFormat="1" ht="16.5" x14ac:dyDescent="0.3">
      <c r="A136" s="320" t="s">
        <v>332</v>
      </c>
      <c r="B136" s="27" t="s">
        <v>434</v>
      </c>
      <c r="C136" s="183" t="s">
        <v>241</v>
      </c>
      <c r="D136" s="183" t="s">
        <v>239</v>
      </c>
      <c r="E136" s="183"/>
      <c r="F136" s="213">
        <f t="shared" si="1"/>
        <v>-1343000</v>
      </c>
      <c r="G136" s="213">
        <v>-1343</v>
      </c>
    </row>
    <row r="137" spans="1:7" s="180" customFormat="1" ht="49.5" x14ac:dyDescent="0.3">
      <c r="A137" s="320" t="s">
        <v>435</v>
      </c>
      <c r="B137" s="27" t="s">
        <v>51</v>
      </c>
      <c r="C137" s="183" t="s">
        <v>241</v>
      </c>
      <c r="D137" s="183" t="s">
        <v>239</v>
      </c>
      <c r="E137" s="183"/>
      <c r="F137" s="213">
        <f t="shared" si="1"/>
        <v>100000</v>
      </c>
      <c r="G137" s="213">
        <v>100</v>
      </c>
    </row>
    <row r="138" spans="1:7" s="180" customFormat="1" ht="33" x14ac:dyDescent="0.3">
      <c r="A138" s="320" t="s">
        <v>436</v>
      </c>
      <c r="B138" s="27" t="s">
        <v>52</v>
      </c>
      <c r="C138" s="183" t="s">
        <v>241</v>
      </c>
      <c r="D138" s="183" t="s">
        <v>239</v>
      </c>
      <c r="E138" s="183"/>
      <c r="F138" s="213">
        <f t="shared" si="1"/>
        <v>570000</v>
      </c>
      <c r="G138" s="213">
        <v>570</v>
      </c>
    </row>
    <row r="139" spans="1:7" s="180" customFormat="1" ht="33" x14ac:dyDescent="0.3">
      <c r="A139" s="320" t="s">
        <v>437</v>
      </c>
      <c r="B139" s="27" t="s">
        <v>53</v>
      </c>
      <c r="C139" s="183" t="s">
        <v>241</v>
      </c>
      <c r="D139" s="183" t="s">
        <v>239</v>
      </c>
      <c r="E139" s="183"/>
      <c r="F139" s="213">
        <f t="shared" si="1"/>
        <v>230000</v>
      </c>
      <c r="G139" s="213">
        <v>230</v>
      </c>
    </row>
    <row r="140" spans="1:7" s="180" customFormat="1" ht="49.5" x14ac:dyDescent="0.3">
      <c r="A140" s="320" t="s">
        <v>438</v>
      </c>
      <c r="B140" s="27" t="s">
        <v>82</v>
      </c>
      <c r="C140" s="183" t="s">
        <v>241</v>
      </c>
      <c r="D140" s="183" t="s">
        <v>239</v>
      </c>
      <c r="E140" s="183"/>
      <c r="F140" s="213">
        <f t="shared" si="1"/>
        <v>240000</v>
      </c>
      <c r="G140" s="213">
        <v>240</v>
      </c>
    </row>
    <row r="141" spans="1:7" s="180" customFormat="1" ht="49.5" x14ac:dyDescent="0.3">
      <c r="A141" s="320" t="s">
        <v>439</v>
      </c>
      <c r="B141" s="27" t="s">
        <v>54</v>
      </c>
      <c r="C141" s="183" t="s">
        <v>241</v>
      </c>
      <c r="D141" s="183" t="s">
        <v>239</v>
      </c>
      <c r="E141" s="183"/>
      <c r="F141" s="213">
        <f t="shared" si="1"/>
        <v>160000</v>
      </c>
      <c r="G141" s="213">
        <v>160</v>
      </c>
    </row>
    <row r="142" spans="1:7" s="180" customFormat="1" ht="49.5" x14ac:dyDescent="0.3">
      <c r="A142" s="320" t="s">
        <v>440</v>
      </c>
      <c r="B142" s="27" t="s">
        <v>55</v>
      </c>
      <c r="C142" s="183" t="s">
        <v>241</v>
      </c>
      <c r="D142" s="183" t="s">
        <v>239</v>
      </c>
      <c r="E142" s="183"/>
      <c r="F142" s="213">
        <f t="shared" si="1"/>
        <v>250000</v>
      </c>
      <c r="G142" s="213">
        <v>250</v>
      </c>
    </row>
    <row r="143" spans="1:7" s="180" customFormat="1" ht="33" x14ac:dyDescent="0.3">
      <c r="A143" s="320" t="s">
        <v>441</v>
      </c>
      <c r="B143" s="27" t="s">
        <v>56</v>
      </c>
      <c r="C143" s="183" t="s">
        <v>241</v>
      </c>
      <c r="D143" s="183" t="s">
        <v>239</v>
      </c>
      <c r="E143" s="183"/>
      <c r="F143" s="213">
        <f t="shared" si="1"/>
        <v>600000</v>
      </c>
      <c r="G143" s="213">
        <v>600</v>
      </c>
    </row>
    <row r="144" spans="1:7" s="180" customFormat="1" ht="33" x14ac:dyDescent="0.3">
      <c r="A144" s="320" t="s">
        <v>442</v>
      </c>
      <c r="B144" s="27" t="s">
        <v>126</v>
      </c>
      <c r="C144" s="183" t="s">
        <v>241</v>
      </c>
      <c r="D144" s="183" t="s">
        <v>239</v>
      </c>
      <c r="E144" s="183"/>
      <c r="F144" s="213">
        <f t="shared" si="1"/>
        <v>80000</v>
      </c>
      <c r="G144" s="213">
        <v>80</v>
      </c>
    </row>
    <row r="145" spans="1:7" s="180" customFormat="1" ht="16.5" x14ac:dyDescent="0.3">
      <c r="A145" s="320"/>
      <c r="B145" s="27"/>
      <c r="C145" s="183"/>
      <c r="D145" s="183"/>
      <c r="E145" s="183"/>
      <c r="F145" s="213">
        <f t="shared" si="1"/>
        <v>0</v>
      </c>
      <c r="G145" s="213"/>
    </row>
    <row r="146" spans="1:7" s="180" customFormat="1" ht="16.5" x14ac:dyDescent="0.3">
      <c r="A146" s="320"/>
      <c r="B146" s="27" t="s">
        <v>443</v>
      </c>
      <c r="C146" s="183"/>
      <c r="D146" s="183"/>
      <c r="E146" s="183"/>
      <c r="F146" s="213">
        <f t="shared" ref="F146:F164" si="2">SUM(G146*1000)</f>
        <v>0</v>
      </c>
      <c r="G146" s="213"/>
    </row>
    <row r="147" spans="1:7" s="180" customFormat="1" ht="49.5" x14ac:dyDescent="0.3">
      <c r="A147" s="320" t="s">
        <v>362</v>
      </c>
      <c r="B147" s="27" t="s">
        <v>51</v>
      </c>
      <c r="C147" s="183" t="s">
        <v>361</v>
      </c>
      <c r="D147" s="183" t="s">
        <v>239</v>
      </c>
      <c r="E147" s="183"/>
      <c r="F147" s="213">
        <f t="shared" si="2"/>
        <v>600000</v>
      </c>
      <c r="G147" s="213">
        <v>600</v>
      </c>
    </row>
    <row r="148" spans="1:7" s="180" customFormat="1" ht="33" x14ac:dyDescent="0.3">
      <c r="A148" s="320" t="s">
        <v>363</v>
      </c>
      <c r="B148" s="27" t="s">
        <v>52</v>
      </c>
      <c r="C148" s="183" t="s">
        <v>361</v>
      </c>
      <c r="D148" s="183" t="s">
        <v>239</v>
      </c>
      <c r="E148" s="183"/>
      <c r="F148" s="213">
        <f t="shared" si="2"/>
        <v>340000</v>
      </c>
      <c r="G148" s="213">
        <v>340</v>
      </c>
    </row>
    <row r="149" spans="1:7" s="180" customFormat="1" ht="33" x14ac:dyDescent="0.3">
      <c r="A149" s="320" t="s">
        <v>365</v>
      </c>
      <c r="B149" s="27" t="s">
        <v>53</v>
      </c>
      <c r="C149" s="183" t="s">
        <v>361</v>
      </c>
      <c r="D149" s="183" t="s">
        <v>239</v>
      </c>
      <c r="E149" s="183"/>
      <c r="F149" s="213">
        <f t="shared" si="2"/>
        <v>140000</v>
      </c>
      <c r="G149" s="213">
        <v>140</v>
      </c>
    </row>
    <row r="150" spans="1:7" s="180" customFormat="1" ht="49.5" x14ac:dyDescent="0.3">
      <c r="A150" s="320" t="s">
        <v>366</v>
      </c>
      <c r="B150" s="27" t="s">
        <v>82</v>
      </c>
      <c r="C150" s="183" t="s">
        <v>361</v>
      </c>
      <c r="D150" s="183" t="s">
        <v>239</v>
      </c>
      <c r="E150" s="183"/>
      <c r="F150" s="213">
        <f t="shared" si="2"/>
        <v>140000</v>
      </c>
      <c r="G150" s="213">
        <v>140</v>
      </c>
    </row>
    <row r="151" spans="1:7" s="180" customFormat="1" ht="49.5" x14ac:dyDescent="0.3">
      <c r="A151" s="320" t="s">
        <v>367</v>
      </c>
      <c r="B151" s="27" t="s">
        <v>54</v>
      </c>
      <c r="C151" s="183" t="s">
        <v>361</v>
      </c>
      <c r="D151" s="183" t="s">
        <v>239</v>
      </c>
      <c r="E151" s="183"/>
      <c r="F151" s="213">
        <f t="shared" si="2"/>
        <v>100000</v>
      </c>
      <c r="G151" s="213">
        <v>100</v>
      </c>
    </row>
    <row r="152" spans="1:7" s="180" customFormat="1" ht="49.5" x14ac:dyDescent="0.3">
      <c r="A152" s="320" t="s">
        <v>368</v>
      </c>
      <c r="B152" s="27" t="s">
        <v>55</v>
      </c>
      <c r="C152" s="183" t="s">
        <v>361</v>
      </c>
      <c r="D152" s="183" t="s">
        <v>239</v>
      </c>
      <c r="E152" s="183"/>
      <c r="F152" s="213">
        <f t="shared" si="2"/>
        <v>150000</v>
      </c>
      <c r="G152" s="213">
        <v>150</v>
      </c>
    </row>
    <row r="153" spans="1:7" s="180" customFormat="1" ht="33" x14ac:dyDescent="0.3">
      <c r="A153" s="320" t="s">
        <v>369</v>
      </c>
      <c r="B153" s="27" t="s">
        <v>56</v>
      </c>
      <c r="C153" s="183" t="s">
        <v>361</v>
      </c>
      <c r="D153" s="183" t="s">
        <v>239</v>
      </c>
      <c r="E153" s="183"/>
      <c r="F153" s="213">
        <f t="shared" si="2"/>
        <v>360000</v>
      </c>
      <c r="G153" s="213">
        <v>360</v>
      </c>
    </row>
    <row r="154" spans="1:7" s="180" customFormat="1" ht="33" x14ac:dyDescent="0.3">
      <c r="A154" s="320" t="s">
        <v>370</v>
      </c>
      <c r="B154" s="27" t="s">
        <v>126</v>
      </c>
      <c r="C154" s="183" t="s">
        <v>361</v>
      </c>
      <c r="D154" s="183" t="s">
        <v>239</v>
      </c>
      <c r="E154" s="183"/>
      <c r="F154" s="213">
        <f t="shared" si="2"/>
        <v>50000</v>
      </c>
      <c r="G154" s="213">
        <v>50</v>
      </c>
    </row>
    <row r="155" spans="1:7" s="180" customFormat="1" ht="33" x14ac:dyDescent="0.3">
      <c r="A155" s="320" t="s">
        <v>402</v>
      </c>
      <c r="B155" s="27" t="s">
        <v>460</v>
      </c>
      <c r="C155" s="183" t="s">
        <v>241</v>
      </c>
      <c r="D155" s="183" t="s">
        <v>239</v>
      </c>
      <c r="E155" s="183"/>
      <c r="F155" s="213">
        <f t="shared" si="2"/>
        <v>-3490000</v>
      </c>
      <c r="G155" s="213">
        <v>-3490</v>
      </c>
    </row>
    <row r="156" spans="1:7" s="180" customFormat="1" ht="33" x14ac:dyDescent="0.3">
      <c r="A156" s="320" t="str">
        <f>$A$155</f>
        <v>71241200/1</v>
      </c>
      <c r="B156" s="52" t="s">
        <v>444</v>
      </c>
      <c r="C156" s="331" t="s">
        <v>406</v>
      </c>
      <c r="D156" s="331" t="s">
        <v>239</v>
      </c>
      <c r="E156" s="331"/>
      <c r="F156" s="213">
        <f t="shared" si="2"/>
        <v>1900000</v>
      </c>
      <c r="G156" s="213">
        <v>1900</v>
      </c>
    </row>
    <row r="157" spans="1:7" s="180" customFormat="1" ht="33" x14ac:dyDescent="0.3">
      <c r="A157" s="320" t="str">
        <f t="shared" ref="A157:A159" si="3">$A$155</f>
        <v>71241200/1</v>
      </c>
      <c r="B157" s="53" t="s">
        <v>445</v>
      </c>
      <c r="C157" s="331" t="str">
        <f t="shared" ref="C157:D159" si="4">C156</f>
        <v>ԵՄ</v>
      </c>
      <c r="D157" s="331" t="str">
        <f t="shared" si="4"/>
        <v>դրամ</v>
      </c>
      <c r="E157" s="331"/>
      <c r="F157" s="213">
        <f t="shared" si="2"/>
        <v>500000</v>
      </c>
      <c r="G157" s="213">
        <v>500</v>
      </c>
    </row>
    <row r="158" spans="1:7" s="180" customFormat="1" ht="16.5" x14ac:dyDescent="0.3">
      <c r="A158" s="320" t="str">
        <f t="shared" si="3"/>
        <v>71241200/1</v>
      </c>
      <c r="B158" s="55" t="s">
        <v>446</v>
      </c>
      <c r="C158" s="331" t="str">
        <f t="shared" si="4"/>
        <v>ԵՄ</v>
      </c>
      <c r="D158" s="331" t="str">
        <f t="shared" si="4"/>
        <v>դրամ</v>
      </c>
      <c r="E158" s="331"/>
      <c r="F158" s="213">
        <f t="shared" si="2"/>
        <v>120000</v>
      </c>
      <c r="G158" s="213">
        <v>120</v>
      </c>
    </row>
    <row r="159" spans="1:7" s="180" customFormat="1" ht="142.5" x14ac:dyDescent="0.3">
      <c r="A159" s="320" t="str">
        <f t="shared" si="3"/>
        <v>71241200/1</v>
      </c>
      <c r="B159" s="56" t="s">
        <v>152</v>
      </c>
      <c r="C159" s="331" t="str">
        <f t="shared" si="4"/>
        <v>ԵՄ</v>
      </c>
      <c r="D159" s="331" t="str">
        <f t="shared" si="4"/>
        <v>դրամ</v>
      </c>
      <c r="E159" s="331"/>
      <c r="F159" s="213">
        <f t="shared" si="2"/>
        <v>30000000</v>
      </c>
      <c r="G159" s="213">
        <v>30000</v>
      </c>
    </row>
    <row r="160" spans="1:7" s="180" customFormat="1" ht="16.5" x14ac:dyDescent="0.3">
      <c r="A160" s="523" t="s">
        <v>263</v>
      </c>
      <c r="B160" s="524"/>
      <c r="C160" s="524"/>
      <c r="D160" s="524"/>
      <c r="E160" s="524"/>
      <c r="F160" s="524"/>
      <c r="G160" s="525"/>
    </row>
    <row r="161" spans="1:7" s="180" customFormat="1" ht="51" customHeight="1" x14ac:dyDescent="0.3">
      <c r="A161" s="320" t="s">
        <v>469</v>
      </c>
      <c r="B161" s="320" t="s">
        <v>463</v>
      </c>
      <c r="C161" s="526" t="s">
        <v>466</v>
      </c>
      <c r="D161" s="526"/>
      <c r="E161" s="526" t="s">
        <v>276</v>
      </c>
      <c r="F161" s="526"/>
      <c r="G161" s="526"/>
    </row>
    <row r="162" spans="1:7" s="180" customFormat="1" ht="22.5" customHeight="1" x14ac:dyDescent="0.3">
      <c r="A162" s="320"/>
      <c r="B162" s="320" t="s">
        <v>470</v>
      </c>
      <c r="C162" s="320"/>
      <c r="D162" s="320"/>
      <c r="E162" s="320"/>
      <c r="F162" s="320"/>
      <c r="G162" s="335">
        <f>SUM(G164:G197)</f>
        <v>40000</v>
      </c>
    </row>
    <row r="163" spans="1:7" ht="16.5" x14ac:dyDescent="0.3">
      <c r="A163" s="320"/>
      <c r="B163" s="184" t="s">
        <v>447</v>
      </c>
      <c r="C163" s="184"/>
      <c r="D163" s="184"/>
      <c r="E163" s="184"/>
      <c r="F163" s="213">
        <f t="shared" si="2"/>
        <v>0</v>
      </c>
      <c r="G163" s="333"/>
    </row>
    <row r="164" spans="1:7" ht="33" x14ac:dyDescent="0.3">
      <c r="A164" s="320" t="s">
        <v>448</v>
      </c>
      <c r="B164" s="184" t="s">
        <v>456</v>
      </c>
      <c r="C164" s="184" t="s">
        <v>449</v>
      </c>
      <c r="D164" s="184" t="s">
        <v>239</v>
      </c>
      <c r="E164" s="184"/>
      <c r="F164" s="213">
        <f t="shared" si="2"/>
        <v>40000000</v>
      </c>
      <c r="G164" s="333">
        <v>40000</v>
      </c>
    </row>
  </sheetData>
  <mergeCells count="19">
    <mergeCell ref="F1:G1"/>
    <mergeCell ref="F2:G2"/>
    <mergeCell ref="F3:G3"/>
    <mergeCell ref="A5:G6"/>
    <mergeCell ref="G9:G10"/>
    <mergeCell ref="B9:B11"/>
    <mergeCell ref="A9:A11"/>
    <mergeCell ref="A13:G13"/>
    <mergeCell ref="C14:D14"/>
    <mergeCell ref="E14:G14"/>
    <mergeCell ref="C9:C11"/>
    <mergeCell ref="D9:D11"/>
    <mergeCell ref="F9:F11"/>
    <mergeCell ref="E9:E11"/>
    <mergeCell ref="A160:G160"/>
    <mergeCell ref="C161:D161"/>
    <mergeCell ref="E161:G161"/>
    <mergeCell ref="C123:D123"/>
    <mergeCell ref="E123:G123"/>
  </mergeCells>
  <pageMargins left="0.7" right="0.7" top="0.75" bottom="0.75" header="0.3" footer="0.3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9"/>
  <sheetViews>
    <sheetView workbookViewId="0">
      <selection activeCell="G298" sqref="G298"/>
    </sheetView>
  </sheetViews>
  <sheetFormatPr defaultRowHeight="16.5" x14ac:dyDescent="0.25"/>
  <cols>
    <col min="1" max="1" width="5.7109375" style="1" customWidth="1"/>
    <col min="2" max="3" width="7" style="1" customWidth="1"/>
    <col min="4" max="4" width="6.42578125" style="1" customWidth="1"/>
    <col min="5" max="5" width="29.28515625" style="1" customWidth="1"/>
    <col min="6" max="6" width="18.42578125" style="89" customWidth="1"/>
    <col min="7" max="7" width="17.85546875" style="89" customWidth="1"/>
    <col min="8" max="8" width="17.28515625" style="89" customWidth="1"/>
    <col min="9" max="9" width="16.85546875" style="89" customWidth="1"/>
    <col min="10" max="10" width="13.140625" style="1" customWidth="1"/>
    <col min="11" max="11" width="15.28515625" style="1" customWidth="1"/>
    <col min="12" max="12" width="13.140625" style="1" customWidth="1"/>
    <col min="13" max="13" width="14.85546875" style="1" customWidth="1"/>
    <col min="14" max="16" width="17.28515625" style="1" customWidth="1"/>
    <col min="17" max="17" width="16.5703125" style="1" customWidth="1"/>
    <col min="18" max="259" width="9.140625" style="1"/>
    <col min="260" max="260" width="5.7109375" style="1" customWidth="1"/>
    <col min="261" max="261" width="7" style="1" customWidth="1"/>
    <col min="262" max="262" width="6.42578125" style="1" customWidth="1"/>
    <col min="263" max="263" width="43.5703125" style="1" customWidth="1"/>
    <col min="264" max="264" width="18.5703125" style="1" customWidth="1"/>
    <col min="265" max="515" width="9.140625" style="1"/>
    <col min="516" max="516" width="5.7109375" style="1" customWidth="1"/>
    <col min="517" max="517" width="7" style="1" customWidth="1"/>
    <col min="518" max="518" width="6.42578125" style="1" customWidth="1"/>
    <col min="519" max="519" width="43.5703125" style="1" customWidth="1"/>
    <col min="520" max="520" width="18.5703125" style="1" customWidth="1"/>
    <col min="521" max="771" width="9.140625" style="1"/>
    <col min="772" max="772" width="5.7109375" style="1" customWidth="1"/>
    <col min="773" max="773" width="7" style="1" customWidth="1"/>
    <col min="774" max="774" width="6.42578125" style="1" customWidth="1"/>
    <col min="775" max="775" width="43.5703125" style="1" customWidth="1"/>
    <col min="776" max="776" width="18.5703125" style="1" customWidth="1"/>
    <col min="777" max="1027" width="9.140625" style="1"/>
    <col min="1028" max="1028" width="5.7109375" style="1" customWidth="1"/>
    <col min="1029" max="1029" width="7" style="1" customWidth="1"/>
    <col min="1030" max="1030" width="6.42578125" style="1" customWidth="1"/>
    <col min="1031" max="1031" width="43.5703125" style="1" customWidth="1"/>
    <col min="1032" max="1032" width="18.5703125" style="1" customWidth="1"/>
    <col min="1033" max="1283" width="9.140625" style="1"/>
    <col min="1284" max="1284" width="5.7109375" style="1" customWidth="1"/>
    <col min="1285" max="1285" width="7" style="1" customWidth="1"/>
    <col min="1286" max="1286" width="6.42578125" style="1" customWidth="1"/>
    <col min="1287" max="1287" width="43.5703125" style="1" customWidth="1"/>
    <col min="1288" max="1288" width="18.5703125" style="1" customWidth="1"/>
    <col min="1289" max="1539" width="9.140625" style="1"/>
    <col min="1540" max="1540" width="5.7109375" style="1" customWidth="1"/>
    <col min="1541" max="1541" width="7" style="1" customWidth="1"/>
    <col min="1542" max="1542" width="6.42578125" style="1" customWidth="1"/>
    <col min="1543" max="1543" width="43.5703125" style="1" customWidth="1"/>
    <col min="1544" max="1544" width="18.5703125" style="1" customWidth="1"/>
    <col min="1545" max="1795" width="9.140625" style="1"/>
    <col min="1796" max="1796" width="5.7109375" style="1" customWidth="1"/>
    <col min="1797" max="1797" width="7" style="1" customWidth="1"/>
    <col min="1798" max="1798" width="6.42578125" style="1" customWidth="1"/>
    <col min="1799" max="1799" width="43.5703125" style="1" customWidth="1"/>
    <col min="1800" max="1800" width="18.5703125" style="1" customWidth="1"/>
    <col min="1801" max="2051" width="9.140625" style="1"/>
    <col min="2052" max="2052" width="5.7109375" style="1" customWidth="1"/>
    <col min="2053" max="2053" width="7" style="1" customWidth="1"/>
    <col min="2054" max="2054" width="6.42578125" style="1" customWidth="1"/>
    <col min="2055" max="2055" width="43.5703125" style="1" customWidth="1"/>
    <col min="2056" max="2056" width="18.5703125" style="1" customWidth="1"/>
    <col min="2057" max="2307" width="9.140625" style="1"/>
    <col min="2308" max="2308" width="5.7109375" style="1" customWidth="1"/>
    <col min="2309" max="2309" width="7" style="1" customWidth="1"/>
    <col min="2310" max="2310" width="6.42578125" style="1" customWidth="1"/>
    <col min="2311" max="2311" width="43.5703125" style="1" customWidth="1"/>
    <col min="2312" max="2312" width="18.5703125" style="1" customWidth="1"/>
    <col min="2313" max="2563" width="9.140625" style="1"/>
    <col min="2564" max="2564" width="5.7109375" style="1" customWidth="1"/>
    <col min="2565" max="2565" width="7" style="1" customWidth="1"/>
    <col min="2566" max="2566" width="6.42578125" style="1" customWidth="1"/>
    <col min="2567" max="2567" width="43.5703125" style="1" customWidth="1"/>
    <col min="2568" max="2568" width="18.5703125" style="1" customWidth="1"/>
    <col min="2569" max="2819" width="9.140625" style="1"/>
    <col min="2820" max="2820" width="5.7109375" style="1" customWidth="1"/>
    <col min="2821" max="2821" width="7" style="1" customWidth="1"/>
    <col min="2822" max="2822" width="6.42578125" style="1" customWidth="1"/>
    <col min="2823" max="2823" width="43.5703125" style="1" customWidth="1"/>
    <col min="2824" max="2824" width="18.5703125" style="1" customWidth="1"/>
    <col min="2825" max="3075" width="9.140625" style="1"/>
    <col min="3076" max="3076" width="5.7109375" style="1" customWidth="1"/>
    <col min="3077" max="3077" width="7" style="1" customWidth="1"/>
    <col min="3078" max="3078" width="6.42578125" style="1" customWidth="1"/>
    <col min="3079" max="3079" width="43.5703125" style="1" customWidth="1"/>
    <col min="3080" max="3080" width="18.5703125" style="1" customWidth="1"/>
    <col min="3081" max="3331" width="9.140625" style="1"/>
    <col min="3332" max="3332" width="5.7109375" style="1" customWidth="1"/>
    <col min="3333" max="3333" width="7" style="1" customWidth="1"/>
    <col min="3334" max="3334" width="6.42578125" style="1" customWidth="1"/>
    <col min="3335" max="3335" width="43.5703125" style="1" customWidth="1"/>
    <col min="3336" max="3336" width="18.5703125" style="1" customWidth="1"/>
    <col min="3337" max="3587" width="9.140625" style="1"/>
    <col min="3588" max="3588" width="5.7109375" style="1" customWidth="1"/>
    <col min="3589" max="3589" width="7" style="1" customWidth="1"/>
    <col min="3590" max="3590" width="6.42578125" style="1" customWidth="1"/>
    <col min="3591" max="3591" width="43.5703125" style="1" customWidth="1"/>
    <col min="3592" max="3592" width="18.5703125" style="1" customWidth="1"/>
    <col min="3593" max="3843" width="9.140625" style="1"/>
    <col min="3844" max="3844" width="5.7109375" style="1" customWidth="1"/>
    <col min="3845" max="3845" width="7" style="1" customWidth="1"/>
    <col min="3846" max="3846" width="6.42578125" style="1" customWidth="1"/>
    <col min="3847" max="3847" width="43.5703125" style="1" customWidth="1"/>
    <col min="3848" max="3848" width="18.5703125" style="1" customWidth="1"/>
    <col min="3849" max="4099" width="9.140625" style="1"/>
    <col min="4100" max="4100" width="5.7109375" style="1" customWidth="1"/>
    <col min="4101" max="4101" width="7" style="1" customWidth="1"/>
    <col min="4102" max="4102" width="6.42578125" style="1" customWidth="1"/>
    <col min="4103" max="4103" width="43.5703125" style="1" customWidth="1"/>
    <col min="4104" max="4104" width="18.5703125" style="1" customWidth="1"/>
    <col min="4105" max="4355" width="9.140625" style="1"/>
    <col min="4356" max="4356" width="5.7109375" style="1" customWidth="1"/>
    <col min="4357" max="4357" width="7" style="1" customWidth="1"/>
    <col min="4358" max="4358" width="6.42578125" style="1" customWidth="1"/>
    <col min="4359" max="4359" width="43.5703125" style="1" customWidth="1"/>
    <col min="4360" max="4360" width="18.5703125" style="1" customWidth="1"/>
    <col min="4361" max="4611" width="9.140625" style="1"/>
    <col min="4612" max="4612" width="5.7109375" style="1" customWidth="1"/>
    <col min="4613" max="4613" width="7" style="1" customWidth="1"/>
    <col min="4614" max="4614" width="6.42578125" style="1" customWidth="1"/>
    <col min="4615" max="4615" width="43.5703125" style="1" customWidth="1"/>
    <col min="4616" max="4616" width="18.5703125" style="1" customWidth="1"/>
    <col min="4617" max="4867" width="9.140625" style="1"/>
    <col min="4868" max="4868" width="5.7109375" style="1" customWidth="1"/>
    <col min="4869" max="4869" width="7" style="1" customWidth="1"/>
    <col min="4870" max="4870" width="6.42578125" style="1" customWidth="1"/>
    <col min="4871" max="4871" width="43.5703125" style="1" customWidth="1"/>
    <col min="4872" max="4872" width="18.5703125" style="1" customWidth="1"/>
    <col min="4873" max="5123" width="9.140625" style="1"/>
    <col min="5124" max="5124" width="5.7109375" style="1" customWidth="1"/>
    <col min="5125" max="5125" width="7" style="1" customWidth="1"/>
    <col min="5126" max="5126" width="6.42578125" style="1" customWidth="1"/>
    <col min="5127" max="5127" width="43.5703125" style="1" customWidth="1"/>
    <col min="5128" max="5128" width="18.5703125" style="1" customWidth="1"/>
    <col min="5129" max="5379" width="9.140625" style="1"/>
    <col min="5380" max="5380" width="5.7109375" style="1" customWidth="1"/>
    <col min="5381" max="5381" width="7" style="1" customWidth="1"/>
    <col min="5382" max="5382" width="6.42578125" style="1" customWidth="1"/>
    <col min="5383" max="5383" width="43.5703125" style="1" customWidth="1"/>
    <col min="5384" max="5384" width="18.5703125" style="1" customWidth="1"/>
    <col min="5385" max="5635" width="9.140625" style="1"/>
    <col min="5636" max="5636" width="5.7109375" style="1" customWidth="1"/>
    <col min="5637" max="5637" width="7" style="1" customWidth="1"/>
    <col min="5638" max="5638" width="6.42578125" style="1" customWidth="1"/>
    <col min="5639" max="5639" width="43.5703125" style="1" customWidth="1"/>
    <col min="5640" max="5640" width="18.5703125" style="1" customWidth="1"/>
    <col min="5641" max="5891" width="9.140625" style="1"/>
    <col min="5892" max="5892" width="5.7109375" style="1" customWidth="1"/>
    <col min="5893" max="5893" width="7" style="1" customWidth="1"/>
    <col min="5894" max="5894" width="6.42578125" style="1" customWidth="1"/>
    <col min="5895" max="5895" width="43.5703125" style="1" customWidth="1"/>
    <col min="5896" max="5896" width="18.5703125" style="1" customWidth="1"/>
    <col min="5897" max="6147" width="9.140625" style="1"/>
    <col min="6148" max="6148" width="5.7109375" style="1" customWidth="1"/>
    <col min="6149" max="6149" width="7" style="1" customWidth="1"/>
    <col min="6150" max="6150" width="6.42578125" style="1" customWidth="1"/>
    <col min="6151" max="6151" width="43.5703125" style="1" customWidth="1"/>
    <col min="6152" max="6152" width="18.5703125" style="1" customWidth="1"/>
    <col min="6153" max="6403" width="9.140625" style="1"/>
    <col min="6404" max="6404" width="5.7109375" style="1" customWidth="1"/>
    <col min="6405" max="6405" width="7" style="1" customWidth="1"/>
    <col min="6406" max="6406" width="6.42578125" style="1" customWidth="1"/>
    <col min="6407" max="6407" width="43.5703125" style="1" customWidth="1"/>
    <col min="6408" max="6408" width="18.5703125" style="1" customWidth="1"/>
    <col min="6409" max="6659" width="9.140625" style="1"/>
    <col min="6660" max="6660" width="5.7109375" style="1" customWidth="1"/>
    <col min="6661" max="6661" width="7" style="1" customWidth="1"/>
    <col min="6662" max="6662" width="6.42578125" style="1" customWidth="1"/>
    <col min="6663" max="6663" width="43.5703125" style="1" customWidth="1"/>
    <col min="6664" max="6664" width="18.5703125" style="1" customWidth="1"/>
    <col min="6665" max="6915" width="9.140625" style="1"/>
    <col min="6916" max="6916" width="5.7109375" style="1" customWidth="1"/>
    <col min="6917" max="6917" width="7" style="1" customWidth="1"/>
    <col min="6918" max="6918" width="6.42578125" style="1" customWidth="1"/>
    <col min="6919" max="6919" width="43.5703125" style="1" customWidth="1"/>
    <col min="6920" max="6920" width="18.5703125" style="1" customWidth="1"/>
    <col min="6921" max="7171" width="9.140625" style="1"/>
    <col min="7172" max="7172" width="5.7109375" style="1" customWidth="1"/>
    <col min="7173" max="7173" width="7" style="1" customWidth="1"/>
    <col min="7174" max="7174" width="6.42578125" style="1" customWidth="1"/>
    <col min="7175" max="7175" width="43.5703125" style="1" customWidth="1"/>
    <col min="7176" max="7176" width="18.5703125" style="1" customWidth="1"/>
    <col min="7177" max="7427" width="9.140625" style="1"/>
    <col min="7428" max="7428" width="5.7109375" style="1" customWidth="1"/>
    <col min="7429" max="7429" width="7" style="1" customWidth="1"/>
    <col min="7430" max="7430" width="6.42578125" style="1" customWidth="1"/>
    <col min="7431" max="7431" width="43.5703125" style="1" customWidth="1"/>
    <col min="7432" max="7432" width="18.5703125" style="1" customWidth="1"/>
    <col min="7433" max="7683" width="9.140625" style="1"/>
    <col min="7684" max="7684" width="5.7109375" style="1" customWidth="1"/>
    <col min="7685" max="7685" width="7" style="1" customWidth="1"/>
    <col min="7686" max="7686" width="6.42578125" style="1" customWidth="1"/>
    <col min="7687" max="7687" width="43.5703125" style="1" customWidth="1"/>
    <col min="7688" max="7688" width="18.5703125" style="1" customWidth="1"/>
    <col min="7689" max="7939" width="9.140625" style="1"/>
    <col min="7940" max="7940" width="5.7109375" style="1" customWidth="1"/>
    <col min="7941" max="7941" width="7" style="1" customWidth="1"/>
    <col min="7942" max="7942" width="6.42578125" style="1" customWidth="1"/>
    <col min="7943" max="7943" width="43.5703125" style="1" customWidth="1"/>
    <col min="7944" max="7944" width="18.5703125" style="1" customWidth="1"/>
    <col min="7945" max="8195" width="9.140625" style="1"/>
    <col min="8196" max="8196" width="5.7109375" style="1" customWidth="1"/>
    <col min="8197" max="8197" width="7" style="1" customWidth="1"/>
    <col min="8198" max="8198" width="6.42578125" style="1" customWidth="1"/>
    <col min="8199" max="8199" width="43.5703125" style="1" customWidth="1"/>
    <col min="8200" max="8200" width="18.5703125" style="1" customWidth="1"/>
    <col min="8201" max="8451" width="9.140625" style="1"/>
    <col min="8452" max="8452" width="5.7109375" style="1" customWidth="1"/>
    <col min="8453" max="8453" width="7" style="1" customWidth="1"/>
    <col min="8454" max="8454" width="6.42578125" style="1" customWidth="1"/>
    <col min="8455" max="8455" width="43.5703125" style="1" customWidth="1"/>
    <col min="8456" max="8456" width="18.5703125" style="1" customWidth="1"/>
    <col min="8457" max="8707" width="9.140625" style="1"/>
    <col min="8708" max="8708" width="5.7109375" style="1" customWidth="1"/>
    <col min="8709" max="8709" width="7" style="1" customWidth="1"/>
    <col min="8710" max="8710" width="6.42578125" style="1" customWidth="1"/>
    <col min="8711" max="8711" width="43.5703125" style="1" customWidth="1"/>
    <col min="8712" max="8712" width="18.5703125" style="1" customWidth="1"/>
    <col min="8713" max="8963" width="9.140625" style="1"/>
    <col min="8964" max="8964" width="5.7109375" style="1" customWidth="1"/>
    <col min="8965" max="8965" width="7" style="1" customWidth="1"/>
    <col min="8966" max="8966" width="6.42578125" style="1" customWidth="1"/>
    <col min="8967" max="8967" width="43.5703125" style="1" customWidth="1"/>
    <col min="8968" max="8968" width="18.5703125" style="1" customWidth="1"/>
    <col min="8969" max="9219" width="9.140625" style="1"/>
    <col min="9220" max="9220" width="5.7109375" style="1" customWidth="1"/>
    <col min="9221" max="9221" width="7" style="1" customWidth="1"/>
    <col min="9222" max="9222" width="6.42578125" style="1" customWidth="1"/>
    <col min="9223" max="9223" width="43.5703125" style="1" customWidth="1"/>
    <col min="9224" max="9224" width="18.5703125" style="1" customWidth="1"/>
    <col min="9225" max="9475" width="9.140625" style="1"/>
    <col min="9476" max="9476" width="5.7109375" style="1" customWidth="1"/>
    <col min="9477" max="9477" width="7" style="1" customWidth="1"/>
    <col min="9478" max="9478" width="6.42578125" style="1" customWidth="1"/>
    <col min="9479" max="9479" width="43.5703125" style="1" customWidth="1"/>
    <col min="9480" max="9480" width="18.5703125" style="1" customWidth="1"/>
    <col min="9481" max="9731" width="9.140625" style="1"/>
    <col min="9732" max="9732" width="5.7109375" style="1" customWidth="1"/>
    <col min="9733" max="9733" width="7" style="1" customWidth="1"/>
    <col min="9734" max="9734" width="6.42578125" style="1" customWidth="1"/>
    <col min="9735" max="9735" width="43.5703125" style="1" customWidth="1"/>
    <col min="9736" max="9736" width="18.5703125" style="1" customWidth="1"/>
    <col min="9737" max="9987" width="9.140625" style="1"/>
    <col min="9988" max="9988" width="5.7109375" style="1" customWidth="1"/>
    <col min="9989" max="9989" width="7" style="1" customWidth="1"/>
    <col min="9990" max="9990" width="6.42578125" style="1" customWidth="1"/>
    <col min="9991" max="9991" width="43.5703125" style="1" customWidth="1"/>
    <col min="9992" max="9992" width="18.5703125" style="1" customWidth="1"/>
    <col min="9993" max="10243" width="9.140625" style="1"/>
    <col min="10244" max="10244" width="5.7109375" style="1" customWidth="1"/>
    <col min="10245" max="10245" width="7" style="1" customWidth="1"/>
    <col min="10246" max="10246" width="6.42578125" style="1" customWidth="1"/>
    <col min="10247" max="10247" width="43.5703125" style="1" customWidth="1"/>
    <col min="10248" max="10248" width="18.5703125" style="1" customWidth="1"/>
    <col min="10249" max="10499" width="9.140625" style="1"/>
    <col min="10500" max="10500" width="5.7109375" style="1" customWidth="1"/>
    <col min="10501" max="10501" width="7" style="1" customWidth="1"/>
    <col min="10502" max="10502" width="6.42578125" style="1" customWidth="1"/>
    <col min="10503" max="10503" width="43.5703125" style="1" customWidth="1"/>
    <col min="10504" max="10504" width="18.5703125" style="1" customWidth="1"/>
    <col min="10505" max="10755" width="9.140625" style="1"/>
    <col min="10756" max="10756" width="5.7109375" style="1" customWidth="1"/>
    <col min="10757" max="10757" width="7" style="1" customWidth="1"/>
    <col min="10758" max="10758" width="6.42578125" style="1" customWidth="1"/>
    <col min="10759" max="10759" width="43.5703125" style="1" customWidth="1"/>
    <col min="10760" max="10760" width="18.5703125" style="1" customWidth="1"/>
    <col min="10761" max="11011" width="9.140625" style="1"/>
    <col min="11012" max="11012" width="5.7109375" style="1" customWidth="1"/>
    <col min="11013" max="11013" width="7" style="1" customWidth="1"/>
    <col min="11014" max="11014" width="6.42578125" style="1" customWidth="1"/>
    <col min="11015" max="11015" width="43.5703125" style="1" customWidth="1"/>
    <col min="11016" max="11016" width="18.5703125" style="1" customWidth="1"/>
    <col min="11017" max="11267" width="9.140625" style="1"/>
    <col min="11268" max="11268" width="5.7109375" style="1" customWidth="1"/>
    <col min="11269" max="11269" width="7" style="1" customWidth="1"/>
    <col min="11270" max="11270" width="6.42578125" style="1" customWidth="1"/>
    <col min="11271" max="11271" width="43.5703125" style="1" customWidth="1"/>
    <col min="11272" max="11272" width="18.5703125" style="1" customWidth="1"/>
    <col min="11273" max="11523" width="9.140625" style="1"/>
    <col min="11524" max="11524" width="5.7109375" style="1" customWidth="1"/>
    <col min="11525" max="11525" width="7" style="1" customWidth="1"/>
    <col min="11526" max="11526" width="6.42578125" style="1" customWidth="1"/>
    <col min="11527" max="11527" width="43.5703125" style="1" customWidth="1"/>
    <col min="11528" max="11528" width="18.5703125" style="1" customWidth="1"/>
    <col min="11529" max="11779" width="9.140625" style="1"/>
    <col min="11780" max="11780" width="5.7109375" style="1" customWidth="1"/>
    <col min="11781" max="11781" width="7" style="1" customWidth="1"/>
    <col min="11782" max="11782" width="6.42578125" style="1" customWidth="1"/>
    <col min="11783" max="11783" width="43.5703125" style="1" customWidth="1"/>
    <col min="11784" max="11784" width="18.5703125" style="1" customWidth="1"/>
    <col min="11785" max="12035" width="9.140625" style="1"/>
    <col min="12036" max="12036" width="5.7109375" style="1" customWidth="1"/>
    <col min="12037" max="12037" width="7" style="1" customWidth="1"/>
    <col min="12038" max="12038" width="6.42578125" style="1" customWidth="1"/>
    <col min="12039" max="12039" width="43.5703125" style="1" customWidth="1"/>
    <col min="12040" max="12040" width="18.5703125" style="1" customWidth="1"/>
    <col min="12041" max="12291" width="9.140625" style="1"/>
    <col min="12292" max="12292" width="5.7109375" style="1" customWidth="1"/>
    <col min="12293" max="12293" width="7" style="1" customWidth="1"/>
    <col min="12294" max="12294" width="6.42578125" style="1" customWidth="1"/>
    <col min="12295" max="12295" width="43.5703125" style="1" customWidth="1"/>
    <col min="12296" max="12296" width="18.5703125" style="1" customWidth="1"/>
    <col min="12297" max="12547" width="9.140625" style="1"/>
    <col min="12548" max="12548" width="5.7109375" style="1" customWidth="1"/>
    <col min="12549" max="12549" width="7" style="1" customWidth="1"/>
    <col min="12550" max="12550" width="6.42578125" style="1" customWidth="1"/>
    <col min="12551" max="12551" width="43.5703125" style="1" customWidth="1"/>
    <col min="12552" max="12552" width="18.5703125" style="1" customWidth="1"/>
    <col min="12553" max="12803" width="9.140625" style="1"/>
    <col min="12804" max="12804" width="5.7109375" style="1" customWidth="1"/>
    <col min="12805" max="12805" width="7" style="1" customWidth="1"/>
    <col min="12806" max="12806" width="6.42578125" style="1" customWidth="1"/>
    <col min="12807" max="12807" width="43.5703125" style="1" customWidth="1"/>
    <col min="12808" max="12808" width="18.5703125" style="1" customWidth="1"/>
    <col min="12809" max="13059" width="9.140625" style="1"/>
    <col min="13060" max="13060" width="5.7109375" style="1" customWidth="1"/>
    <col min="13061" max="13061" width="7" style="1" customWidth="1"/>
    <col min="13062" max="13062" width="6.42578125" style="1" customWidth="1"/>
    <col min="13063" max="13063" width="43.5703125" style="1" customWidth="1"/>
    <col min="13064" max="13064" width="18.5703125" style="1" customWidth="1"/>
    <col min="13065" max="13315" width="9.140625" style="1"/>
    <col min="13316" max="13316" width="5.7109375" style="1" customWidth="1"/>
    <col min="13317" max="13317" width="7" style="1" customWidth="1"/>
    <col min="13318" max="13318" width="6.42578125" style="1" customWidth="1"/>
    <col min="13319" max="13319" width="43.5703125" style="1" customWidth="1"/>
    <col min="13320" max="13320" width="18.5703125" style="1" customWidth="1"/>
    <col min="13321" max="13571" width="9.140625" style="1"/>
    <col min="13572" max="13572" width="5.7109375" style="1" customWidth="1"/>
    <col min="13573" max="13573" width="7" style="1" customWidth="1"/>
    <col min="13574" max="13574" width="6.42578125" style="1" customWidth="1"/>
    <col min="13575" max="13575" width="43.5703125" style="1" customWidth="1"/>
    <col min="13576" max="13576" width="18.5703125" style="1" customWidth="1"/>
    <col min="13577" max="13827" width="9.140625" style="1"/>
    <col min="13828" max="13828" width="5.7109375" style="1" customWidth="1"/>
    <col min="13829" max="13829" width="7" style="1" customWidth="1"/>
    <col min="13830" max="13830" width="6.42578125" style="1" customWidth="1"/>
    <col min="13831" max="13831" width="43.5703125" style="1" customWidth="1"/>
    <col min="13832" max="13832" width="18.5703125" style="1" customWidth="1"/>
    <col min="13833" max="14083" width="9.140625" style="1"/>
    <col min="14084" max="14084" width="5.7109375" style="1" customWidth="1"/>
    <col min="14085" max="14085" width="7" style="1" customWidth="1"/>
    <col min="14086" max="14086" width="6.42578125" style="1" customWidth="1"/>
    <col min="14087" max="14087" width="43.5703125" style="1" customWidth="1"/>
    <col min="14088" max="14088" width="18.5703125" style="1" customWidth="1"/>
    <col min="14089" max="14339" width="9.140625" style="1"/>
    <col min="14340" max="14340" width="5.7109375" style="1" customWidth="1"/>
    <col min="14341" max="14341" width="7" style="1" customWidth="1"/>
    <col min="14342" max="14342" width="6.42578125" style="1" customWidth="1"/>
    <col min="14343" max="14343" width="43.5703125" style="1" customWidth="1"/>
    <col min="14344" max="14344" width="18.5703125" style="1" customWidth="1"/>
    <col min="14345" max="14595" width="9.140625" style="1"/>
    <col min="14596" max="14596" width="5.7109375" style="1" customWidth="1"/>
    <col min="14597" max="14597" width="7" style="1" customWidth="1"/>
    <col min="14598" max="14598" width="6.42578125" style="1" customWidth="1"/>
    <col min="14599" max="14599" width="43.5703125" style="1" customWidth="1"/>
    <col min="14600" max="14600" width="18.5703125" style="1" customWidth="1"/>
    <col min="14601" max="14851" width="9.140625" style="1"/>
    <col min="14852" max="14852" width="5.7109375" style="1" customWidth="1"/>
    <col min="14853" max="14853" width="7" style="1" customWidth="1"/>
    <col min="14854" max="14854" width="6.42578125" style="1" customWidth="1"/>
    <col min="14855" max="14855" width="43.5703125" style="1" customWidth="1"/>
    <col min="14856" max="14856" width="18.5703125" style="1" customWidth="1"/>
    <col min="14857" max="15107" width="9.140625" style="1"/>
    <col min="15108" max="15108" width="5.7109375" style="1" customWidth="1"/>
    <col min="15109" max="15109" width="7" style="1" customWidth="1"/>
    <col min="15110" max="15110" width="6.42578125" style="1" customWidth="1"/>
    <col min="15111" max="15111" width="43.5703125" style="1" customWidth="1"/>
    <col min="15112" max="15112" width="18.5703125" style="1" customWidth="1"/>
    <col min="15113" max="15363" width="9.140625" style="1"/>
    <col min="15364" max="15364" width="5.7109375" style="1" customWidth="1"/>
    <col min="15365" max="15365" width="7" style="1" customWidth="1"/>
    <col min="15366" max="15366" width="6.42578125" style="1" customWidth="1"/>
    <col min="15367" max="15367" width="43.5703125" style="1" customWidth="1"/>
    <col min="15368" max="15368" width="18.5703125" style="1" customWidth="1"/>
    <col min="15369" max="15619" width="9.140625" style="1"/>
    <col min="15620" max="15620" width="5.7109375" style="1" customWidth="1"/>
    <col min="15621" max="15621" width="7" style="1" customWidth="1"/>
    <col min="15622" max="15622" width="6.42578125" style="1" customWidth="1"/>
    <col min="15623" max="15623" width="43.5703125" style="1" customWidth="1"/>
    <col min="15624" max="15624" width="18.5703125" style="1" customWidth="1"/>
    <col min="15625" max="15875" width="9.140625" style="1"/>
    <col min="15876" max="15876" width="5.7109375" style="1" customWidth="1"/>
    <col min="15877" max="15877" width="7" style="1" customWidth="1"/>
    <col min="15878" max="15878" width="6.42578125" style="1" customWidth="1"/>
    <col min="15879" max="15879" width="43.5703125" style="1" customWidth="1"/>
    <col min="15880" max="15880" width="18.5703125" style="1" customWidth="1"/>
    <col min="15881" max="16131" width="9.140625" style="1"/>
    <col min="16132" max="16132" width="5.7109375" style="1" customWidth="1"/>
    <col min="16133" max="16133" width="7" style="1" customWidth="1"/>
    <col min="16134" max="16134" width="6.42578125" style="1" customWidth="1"/>
    <col min="16135" max="16135" width="43.5703125" style="1" customWidth="1"/>
    <col min="16136" max="16136" width="18.5703125" style="1" customWidth="1"/>
    <col min="16137" max="16384" width="9.140625" style="1"/>
  </cols>
  <sheetData>
    <row r="1" spans="1:17" x14ac:dyDescent="0.25">
      <c r="A1" s="365" t="s">
        <v>0</v>
      </c>
      <c r="B1" s="365"/>
      <c r="C1" s="365"/>
      <c r="D1" s="365"/>
      <c r="E1" s="365"/>
      <c r="F1" s="365"/>
      <c r="G1" s="365"/>
      <c r="H1" s="365"/>
      <c r="I1" s="365"/>
    </row>
    <row r="2" spans="1:17" x14ac:dyDescent="0.25">
      <c r="A2" s="365" t="s">
        <v>13</v>
      </c>
      <c r="B2" s="365"/>
      <c r="C2" s="365"/>
      <c r="D2" s="365"/>
      <c r="E2" s="365"/>
      <c r="F2" s="365"/>
      <c r="G2" s="365"/>
      <c r="H2" s="365"/>
      <c r="I2" s="365"/>
    </row>
    <row r="3" spans="1:17" x14ac:dyDescent="0.25">
      <c r="A3" s="365" t="s">
        <v>1</v>
      </c>
      <c r="B3" s="365"/>
      <c r="C3" s="365"/>
      <c r="D3" s="365"/>
      <c r="E3" s="365"/>
      <c r="F3" s="365"/>
      <c r="G3" s="365"/>
      <c r="H3" s="365"/>
      <c r="I3" s="365"/>
    </row>
    <row r="4" spans="1:17" x14ac:dyDescent="0.25">
      <c r="A4" s="366" t="s">
        <v>14</v>
      </c>
      <c r="B4" s="366"/>
      <c r="C4" s="366"/>
      <c r="D4" s="366"/>
      <c r="E4" s="366"/>
      <c r="F4" s="366"/>
      <c r="G4" s="366"/>
      <c r="H4" s="366"/>
      <c r="I4" s="366"/>
    </row>
    <row r="5" spans="1:17" x14ac:dyDescent="0.25">
      <c r="A5" s="2"/>
      <c r="B5" s="2"/>
      <c r="C5" s="2"/>
      <c r="D5" s="2"/>
      <c r="E5" s="2"/>
      <c r="F5" s="2"/>
      <c r="G5" s="2"/>
      <c r="H5" s="2"/>
      <c r="I5" s="3"/>
    </row>
    <row r="6" spans="1:17" x14ac:dyDescent="0.25">
      <c r="A6" s="367" t="s">
        <v>2</v>
      </c>
      <c r="B6" s="367" t="s">
        <v>3</v>
      </c>
      <c r="C6" s="367" t="s">
        <v>4</v>
      </c>
      <c r="D6" s="369" t="s">
        <v>57</v>
      </c>
      <c r="E6" s="371" t="s">
        <v>5</v>
      </c>
      <c r="F6" s="373" t="s">
        <v>6</v>
      </c>
      <c r="G6" s="374"/>
      <c r="H6" s="374"/>
      <c r="I6" s="374"/>
    </row>
    <row r="7" spans="1:17" ht="33" x14ac:dyDescent="0.25">
      <c r="A7" s="368"/>
      <c r="B7" s="368"/>
      <c r="C7" s="368"/>
      <c r="D7" s="370"/>
      <c r="E7" s="372"/>
      <c r="F7" s="5" t="s">
        <v>15</v>
      </c>
      <c r="G7" s="5" t="s">
        <v>16</v>
      </c>
      <c r="H7" s="5" t="s">
        <v>17</v>
      </c>
      <c r="I7" s="4" t="s">
        <v>7</v>
      </c>
    </row>
    <row r="8" spans="1:17" x14ac:dyDescent="0.25">
      <c r="A8" s="256"/>
      <c r="B8" s="256"/>
      <c r="C8" s="256"/>
      <c r="D8" s="257"/>
      <c r="E8" s="9" t="s">
        <v>72</v>
      </c>
      <c r="F8" s="43">
        <f>SUM(F9+F225)</f>
        <v>0</v>
      </c>
      <c r="G8" s="43">
        <f>SUM(G9+G225)</f>
        <v>0</v>
      </c>
      <c r="H8" s="43">
        <f>SUM(H9+H225)</f>
        <v>-40000</v>
      </c>
      <c r="I8" s="43">
        <f>SUM(I9+I225)</f>
        <v>-40000</v>
      </c>
    </row>
    <row r="9" spans="1:17" s="13" customFormat="1" ht="43.5" customHeight="1" x14ac:dyDescent="0.25">
      <c r="A9" s="11"/>
      <c r="B9" s="11"/>
      <c r="C9" s="11"/>
      <c r="D9" s="12"/>
      <c r="E9" s="14" t="s">
        <v>9</v>
      </c>
      <c r="F9" s="255">
        <f>SUM(F13+F177)</f>
        <v>1176067</v>
      </c>
      <c r="G9" s="255">
        <f>SUM(G13+G177)</f>
        <v>2352134.1</v>
      </c>
      <c r="H9" s="255">
        <f t="shared" ref="H9:I9" si="0">SUM(H13+H177)</f>
        <v>4076234.7</v>
      </c>
      <c r="I9" s="255">
        <f t="shared" si="0"/>
        <v>5840335.2999999998</v>
      </c>
    </row>
    <row r="10" spans="1:17" s="13" customFormat="1" ht="21.75" customHeight="1" x14ac:dyDescent="0.25">
      <c r="A10" s="11"/>
      <c r="B10" s="11"/>
      <c r="C10" s="11"/>
      <c r="D10" s="12"/>
      <c r="E10" s="14"/>
      <c r="F10" s="255"/>
      <c r="G10" s="255"/>
      <c r="H10" s="255"/>
      <c r="I10" s="255"/>
    </row>
    <row r="11" spans="1:17" s="13" customFormat="1" ht="27" customHeight="1" x14ac:dyDescent="0.25">
      <c r="A11" s="11"/>
      <c r="B11" s="11"/>
      <c r="C11" s="11"/>
      <c r="D11" s="12"/>
      <c r="E11" s="14"/>
      <c r="F11" s="255"/>
      <c r="G11" s="255"/>
      <c r="H11" s="255"/>
      <c r="I11" s="255"/>
      <c r="J11" s="538" t="s">
        <v>265</v>
      </c>
      <c r="K11" s="539"/>
      <c r="L11" s="539"/>
      <c r="M11" s="539"/>
      <c r="N11" s="538" t="s">
        <v>266</v>
      </c>
      <c r="O11" s="539"/>
      <c r="P11" s="539"/>
      <c r="Q11" s="539"/>
    </row>
    <row r="12" spans="1:17" s="13" customFormat="1" ht="14.25" x14ac:dyDescent="0.25">
      <c r="A12" s="11"/>
      <c r="B12" s="11"/>
      <c r="C12" s="11"/>
      <c r="D12" s="12"/>
      <c r="E12" s="15" t="s">
        <v>73</v>
      </c>
      <c r="F12" s="87"/>
      <c r="G12" s="87"/>
      <c r="H12" s="87"/>
      <c r="I12" s="87"/>
      <c r="J12" s="13" t="s">
        <v>267</v>
      </c>
      <c r="K12" s="13" t="s">
        <v>268</v>
      </c>
      <c r="L12" s="13" t="s">
        <v>269</v>
      </c>
      <c r="M12" s="13" t="s">
        <v>7</v>
      </c>
      <c r="N12" s="13" t="s">
        <v>267</v>
      </c>
      <c r="O12" s="13" t="s">
        <v>268</v>
      </c>
      <c r="P12" s="13" t="s">
        <v>269</v>
      </c>
      <c r="Q12" s="13" t="s">
        <v>7</v>
      </c>
    </row>
    <row r="13" spans="1:17" s="13" customFormat="1" ht="66" x14ac:dyDescent="0.25">
      <c r="A13" s="7" t="s">
        <v>10</v>
      </c>
      <c r="B13" s="7" t="s">
        <v>11</v>
      </c>
      <c r="C13" s="7" t="s">
        <v>12</v>
      </c>
      <c r="D13" s="24" t="s">
        <v>12</v>
      </c>
      <c r="E13" s="25" t="s">
        <v>59</v>
      </c>
      <c r="F13" s="87">
        <f>SUM(F15+F67+F109+F153)</f>
        <v>1106814.5</v>
      </c>
      <c r="G13" s="87">
        <f t="shared" ref="G13:I13" si="1">SUM(G15+G67+G109+G153)</f>
        <v>2194721.6</v>
      </c>
      <c r="H13" s="87">
        <f t="shared" si="1"/>
        <v>3815622.2</v>
      </c>
      <c r="I13" s="271">
        <f t="shared" si="1"/>
        <v>5497352.7999999998</v>
      </c>
      <c r="J13" s="274"/>
      <c r="K13" s="274"/>
      <c r="L13" s="274"/>
      <c r="M13" s="274"/>
      <c r="N13" s="275"/>
      <c r="O13" s="275"/>
      <c r="P13" s="275"/>
      <c r="Q13" s="274"/>
    </row>
    <row r="14" spans="1:17" s="13" customFormat="1" x14ac:dyDescent="0.25">
      <c r="A14" s="7"/>
      <c r="B14" s="7"/>
      <c r="C14" s="7"/>
      <c r="D14" s="8"/>
      <c r="E14" s="22" t="s">
        <v>73</v>
      </c>
      <c r="F14" s="87"/>
      <c r="G14" s="87"/>
      <c r="H14" s="87"/>
      <c r="I14" s="87"/>
      <c r="J14" s="272"/>
      <c r="K14" s="272"/>
      <c r="L14" s="272"/>
      <c r="M14" s="272"/>
      <c r="N14" s="273"/>
      <c r="O14" s="273"/>
      <c r="P14" s="273"/>
      <c r="Q14" s="272"/>
    </row>
    <row r="15" spans="1:17" s="13" customFormat="1" ht="49.5" x14ac:dyDescent="0.25">
      <c r="A15" s="7"/>
      <c r="B15" s="7"/>
      <c r="C15" s="7"/>
      <c r="D15" s="8"/>
      <c r="E15" s="9" t="s">
        <v>155</v>
      </c>
      <c r="F15" s="87">
        <f>SUM(F16+F40+F50)</f>
        <v>1106814.5</v>
      </c>
      <c r="G15" s="87">
        <f t="shared" ref="G15:L15" si="2">SUM(G16+G40+G50)</f>
        <v>2194721.6</v>
      </c>
      <c r="H15" s="87">
        <f t="shared" si="2"/>
        <v>3645825.2</v>
      </c>
      <c r="I15" s="87">
        <f t="shared" si="2"/>
        <v>5327555.8</v>
      </c>
      <c r="J15" s="277">
        <f>SUM(J16+J40+J50)</f>
        <v>-38270</v>
      </c>
      <c r="K15" s="277">
        <f t="shared" si="2"/>
        <v>-38270</v>
      </c>
      <c r="L15" s="277">
        <f t="shared" si="2"/>
        <v>-38270</v>
      </c>
      <c r="M15" s="277">
        <f>SUM(M16+M40+M50)</f>
        <v>-38270</v>
      </c>
      <c r="N15" s="278">
        <f t="shared" ref="N15:N46" si="3">SUM(F15-J15)</f>
        <v>1145084.5</v>
      </c>
      <c r="O15" s="278">
        <f t="shared" ref="O15:O46" si="4">SUM(G15-K15)</f>
        <v>2232991.6</v>
      </c>
      <c r="P15" s="278">
        <f t="shared" ref="P15:P46" si="5">SUM(H15-L15)</f>
        <v>3684095.2</v>
      </c>
      <c r="Q15" s="278">
        <f t="shared" ref="Q15:Q46" si="6">SUM(I15-M15)</f>
        <v>5365825.8</v>
      </c>
    </row>
    <row r="16" spans="1:17" s="13" customFormat="1" ht="49.5" x14ac:dyDescent="0.25">
      <c r="A16" s="7"/>
      <c r="B16" s="7"/>
      <c r="C16" s="7"/>
      <c r="D16" s="8"/>
      <c r="E16" s="26" t="s">
        <v>154</v>
      </c>
      <c r="F16" s="87">
        <f>SUM(F18+F26+F30+F32+F34+F37)</f>
        <v>754081.7</v>
      </c>
      <c r="G16" s="87">
        <f t="shared" ref="G16:I16" si="7">SUM(G18+G26+G30+G32+G34+G37)</f>
        <v>1663858.8</v>
      </c>
      <c r="H16" s="87">
        <f t="shared" si="7"/>
        <v>2634229</v>
      </c>
      <c r="I16" s="87">
        <f t="shared" si="7"/>
        <v>3536300</v>
      </c>
      <c r="J16" s="82">
        <f t="shared" ref="J16:L16" si="8">SUM(J18+J26+J30+J32+J34+J37)</f>
        <v>-23950</v>
      </c>
      <c r="K16" s="82">
        <f t="shared" si="8"/>
        <v>-23950</v>
      </c>
      <c r="L16" s="82">
        <f t="shared" si="8"/>
        <v>-23950</v>
      </c>
      <c r="M16" s="82">
        <f t="shared" ref="M16" si="9">SUM(M18+M26+M30+M32+M34+M37)</f>
        <v>-23950</v>
      </c>
      <c r="N16" s="73">
        <f t="shared" si="3"/>
        <v>778031.7</v>
      </c>
      <c r="O16" s="73">
        <f t="shared" si="4"/>
        <v>1687808.8</v>
      </c>
      <c r="P16" s="73">
        <f t="shared" si="5"/>
        <v>2658179</v>
      </c>
      <c r="Q16" s="73">
        <f t="shared" si="6"/>
        <v>3560250</v>
      </c>
    </row>
    <row r="17" spans="1:17" s="13" customFormat="1" x14ac:dyDescent="0.25">
      <c r="A17" s="7"/>
      <c r="B17" s="7"/>
      <c r="C17" s="7"/>
      <c r="D17" s="8"/>
      <c r="E17" s="22" t="s">
        <v>73</v>
      </c>
      <c r="F17" s="87">
        <v>0</v>
      </c>
      <c r="G17" s="87">
        <v>0</v>
      </c>
      <c r="H17" s="87">
        <v>0</v>
      </c>
      <c r="I17" s="87">
        <v>0</v>
      </c>
      <c r="J17" s="82"/>
      <c r="K17" s="82"/>
      <c r="L17" s="82"/>
      <c r="M17" s="82"/>
      <c r="N17" s="73">
        <f t="shared" si="3"/>
        <v>0</v>
      </c>
      <c r="O17" s="73">
        <f t="shared" si="4"/>
        <v>0</v>
      </c>
      <c r="P17" s="73">
        <f t="shared" si="5"/>
        <v>0</v>
      </c>
      <c r="Q17" s="73">
        <f t="shared" si="6"/>
        <v>0</v>
      </c>
    </row>
    <row r="18" spans="1:17" s="13" customFormat="1" ht="49.5" x14ac:dyDescent="0.25">
      <c r="A18" s="7"/>
      <c r="B18" s="7"/>
      <c r="C18" s="7"/>
      <c r="D18" s="7"/>
      <c r="E18" s="27" t="s">
        <v>18</v>
      </c>
      <c r="F18" s="87">
        <f>SUM(F19:F25)</f>
        <v>194398</v>
      </c>
      <c r="G18" s="87">
        <f t="shared" ref="G18:L18" si="10">SUM(G19:G25)</f>
        <v>404917.8</v>
      </c>
      <c r="H18" s="87">
        <f t="shared" si="10"/>
        <v>650638</v>
      </c>
      <c r="I18" s="87">
        <f t="shared" si="10"/>
        <v>853088</v>
      </c>
      <c r="J18" s="43">
        <f t="shared" si="10"/>
        <v>-990</v>
      </c>
      <c r="K18" s="43">
        <f t="shared" si="10"/>
        <v>-990</v>
      </c>
      <c r="L18" s="43">
        <f t="shared" si="10"/>
        <v>-990</v>
      </c>
      <c r="M18" s="43">
        <f>SUM(M19:M25)</f>
        <v>-990</v>
      </c>
      <c r="N18" s="73">
        <f t="shared" si="3"/>
        <v>195388</v>
      </c>
      <c r="O18" s="73">
        <f t="shared" si="4"/>
        <v>405907.8</v>
      </c>
      <c r="P18" s="73">
        <f t="shared" si="5"/>
        <v>651628</v>
      </c>
      <c r="Q18" s="73">
        <f t="shared" si="6"/>
        <v>854078</v>
      </c>
    </row>
    <row r="19" spans="1:17" s="13" customFormat="1" ht="66" x14ac:dyDescent="0.25">
      <c r="A19" s="24"/>
      <c r="B19" s="24"/>
      <c r="C19" s="24"/>
      <c r="D19" s="24"/>
      <c r="E19" s="44" t="s">
        <v>20</v>
      </c>
      <c r="F19" s="88">
        <v>-1912</v>
      </c>
      <c r="G19" s="88">
        <v>-1912</v>
      </c>
      <c r="H19" s="88">
        <v>-1912</v>
      </c>
      <c r="I19" s="124">
        <v>-1912</v>
      </c>
      <c r="J19" s="48">
        <v>0</v>
      </c>
      <c r="K19" s="48">
        <v>0</v>
      </c>
      <c r="L19" s="48">
        <v>0</v>
      </c>
      <c r="M19" s="48">
        <v>0</v>
      </c>
      <c r="N19" s="73">
        <f t="shared" si="3"/>
        <v>-1912</v>
      </c>
      <c r="O19" s="73">
        <f t="shared" si="4"/>
        <v>-1912</v>
      </c>
      <c r="P19" s="73">
        <f t="shared" si="5"/>
        <v>-1912</v>
      </c>
      <c r="Q19" s="73">
        <f t="shared" si="6"/>
        <v>-1912</v>
      </c>
    </row>
    <row r="20" spans="1:17" s="13" customFormat="1" ht="49.5" x14ac:dyDescent="0.25">
      <c r="A20" s="24"/>
      <c r="B20" s="24"/>
      <c r="C20" s="24"/>
      <c r="D20" s="24"/>
      <c r="E20" s="30" t="s">
        <v>19</v>
      </c>
      <c r="F20" s="88">
        <v>41700</v>
      </c>
      <c r="G20" s="88">
        <v>75400</v>
      </c>
      <c r="H20" s="88">
        <v>120900</v>
      </c>
      <c r="I20" s="124">
        <v>166400</v>
      </c>
      <c r="J20" s="48">
        <f t="shared" ref="J20:L20" si="11">3300-3600</f>
        <v>-300</v>
      </c>
      <c r="K20" s="48">
        <f t="shared" si="11"/>
        <v>-300</v>
      </c>
      <c r="L20" s="48">
        <f t="shared" si="11"/>
        <v>-300</v>
      </c>
      <c r="M20" s="48">
        <f>3300-3600</f>
        <v>-300</v>
      </c>
      <c r="N20" s="73">
        <f t="shared" si="3"/>
        <v>42000</v>
      </c>
      <c r="O20" s="73">
        <f t="shared" si="4"/>
        <v>75700</v>
      </c>
      <c r="P20" s="73">
        <f t="shared" si="5"/>
        <v>121200</v>
      </c>
      <c r="Q20" s="73">
        <f t="shared" si="6"/>
        <v>166700</v>
      </c>
    </row>
    <row r="21" spans="1:17" s="13" customFormat="1" ht="33" x14ac:dyDescent="0.25">
      <c r="A21" s="24"/>
      <c r="B21" s="24"/>
      <c r="C21" s="24"/>
      <c r="D21" s="24"/>
      <c r="E21" s="30" t="s">
        <v>21</v>
      </c>
      <c r="F21" s="88">
        <v>34340</v>
      </c>
      <c r="G21" s="88">
        <v>70640</v>
      </c>
      <c r="H21" s="88">
        <v>113340</v>
      </c>
      <c r="I21" s="124">
        <v>147210</v>
      </c>
      <c r="J21" s="48">
        <f t="shared" ref="J21:L21" si="12">5340-6000</f>
        <v>-660</v>
      </c>
      <c r="K21" s="48">
        <f t="shared" si="12"/>
        <v>-660</v>
      </c>
      <c r="L21" s="48">
        <f t="shared" si="12"/>
        <v>-660</v>
      </c>
      <c r="M21" s="48">
        <f>5340-6000</f>
        <v>-660</v>
      </c>
      <c r="N21" s="73">
        <f t="shared" si="3"/>
        <v>35000</v>
      </c>
      <c r="O21" s="73">
        <f t="shared" si="4"/>
        <v>71300</v>
      </c>
      <c r="P21" s="73">
        <f t="shared" si="5"/>
        <v>114000</v>
      </c>
      <c r="Q21" s="73">
        <f t="shared" si="6"/>
        <v>147870</v>
      </c>
    </row>
    <row r="22" spans="1:17" s="13" customFormat="1" ht="33" x14ac:dyDescent="0.25">
      <c r="A22" s="24"/>
      <c r="B22" s="24"/>
      <c r="C22" s="24"/>
      <c r="D22" s="24"/>
      <c r="E22" s="30" t="s">
        <v>22</v>
      </c>
      <c r="F22" s="88">
        <v>53570</v>
      </c>
      <c r="G22" s="88">
        <v>99849.8</v>
      </c>
      <c r="H22" s="88">
        <v>175470</v>
      </c>
      <c r="I22" s="124">
        <v>240950</v>
      </c>
      <c r="J22" s="48">
        <f t="shared" ref="J22:L22" si="13">3570-4000</f>
        <v>-430</v>
      </c>
      <c r="K22" s="48">
        <f t="shared" si="13"/>
        <v>-430</v>
      </c>
      <c r="L22" s="48">
        <f t="shared" si="13"/>
        <v>-430</v>
      </c>
      <c r="M22" s="48">
        <f>3570-4000</f>
        <v>-430</v>
      </c>
      <c r="N22" s="73">
        <f t="shared" si="3"/>
        <v>54000</v>
      </c>
      <c r="O22" s="73">
        <f t="shared" si="4"/>
        <v>100279.8</v>
      </c>
      <c r="P22" s="73">
        <f t="shared" si="5"/>
        <v>175900</v>
      </c>
      <c r="Q22" s="73">
        <f t="shared" si="6"/>
        <v>241380</v>
      </c>
    </row>
    <row r="23" spans="1:17" s="13" customFormat="1" ht="66" x14ac:dyDescent="0.25">
      <c r="A23" s="7"/>
      <c r="B23" s="7"/>
      <c r="C23" s="7"/>
      <c r="D23" s="7"/>
      <c r="E23" s="36" t="s">
        <v>109</v>
      </c>
      <c r="F23" s="88">
        <v>36130</v>
      </c>
      <c r="G23" s="88">
        <v>85630</v>
      </c>
      <c r="H23" s="88">
        <v>125630</v>
      </c>
      <c r="I23" s="124">
        <v>160280</v>
      </c>
      <c r="J23" s="5">
        <v>630</v>
      </c>
      <c r="K23" s="5">
        <v>630</v>
      </c>
      <c r="L23" s="5">
        <v>630</v>
      </c>
      <c r="M23" s="5">
        <v>630</v>
      </c>
      <c r="N23" s="73">
        <f t="shared" si="3"/>
        <v>35500</v>
      </c>
      <c r="O23" s="73">
        <f t="shared" si="4"/>
        <v>85000</v>
      </c>
      <c r="P23" s="73">
        <f t="shared" si="5"/>
        <v>125000</v>
      </c>
      <c r="Q23" s="73">
        <f t="shared" si="6"/>
        <v>159650</v>
      </c>
    </row>
    <row r="24" spans="1:17" s="13" customFormat="1" ht="49.5" x14ac:dyDescent="0.25">
      <c r="A24" s="7"/>
      <c r="B24" s="7"/>
      <c r="C24" s="7"/>
      <c r="D24" s="7"/>
      <c r="E24" s="35" t="s">
        <v>23</v>
      </c>
      <c r="F24" s="88">
        <v>16620</v>
      </c>
      <c r="G24" s="88">
        <v>34020</v>
      </c>
      <c r="H24" s="88">
        <v>54620</v>
      </c>
      <c r="I24" s="124">
        <v>75260</v>
      </c>
      <c r="J24" s="5">
        <f t="shared" ref="J24:L24" si="14">2220-2400</f>
        <v>-180</v>
      </c>
      <c r="K24" s="5">
        <f t="shared" si="14"/>
        <v>-180</v>
      </c>
      <c r="L24" s="5">
        <f t="shared" si="14"/>
        <v>-180</v>
      </c>
      <c r="M24" s="5">
        <f>2220-2400</f>
        <v>-180</v>
      </c>
      <c r="N24" s="73">
        <f t="shared" si="3"/>
        <v>16800</v>
      </c>
      <c r="O24" s="73">
        <f t="shared" si="4"/>
        <v>34200</v>
      </c>
      <c r="P24" s="73">
        <f t="shared" si="5"/>
        <v>54800</v>
      </c>
      <c r="Q24" s="73">
        <f t="shared" si="6"/>
        <v>75440</v>
      </c>
    </row>
    <row r="25" spans="1:17" s="13" customFormat="1" ht="49.5" x14ac:dyDescent="0.25">
      <c r="A25" s="24"/>
      <c r="B25" s="24"/>
      <c r="C25" s="24"/>
      <c r="D25" s="24"/>
      <c r="E25" s="29" t="s">
        <v>24</v>
      </c>
      <c r="F25" s="88">
        <v>13950</v>
      </c>
      <c r="G25" s="88">
        <v>41290</v>
      </c>
      <c r="H25" s="88">
        <v>62590</v>
      </c>
      <c r="I25" s="124">
        <v>64900</v>
      </c>
      <c r="J25" s="48">
        <f t="shared" ref="J25:L25" si="15">630-680</f>
        <v>-50</v>
      </c>
      <c r="K25" s="48">
        <f t="shared" si="15"/>
        <v>-50</v>
      </c>
      <c r="L25" s="48">
        <f t="shared" si="15"/>
        <v>-50</v>
      </c>
      <c r="M25" s="48">
        <f>630-680</f>
        <v>-50</v>
      </c>
      <c r="N25" s="73">
        <f t="shared" si="3"/>
        <v>14000</v>
      </c>
      <c r="O25" s="73">
        <f t="shared" si="4"/>
        <v>41340</v>
      </c>
      <c r="P25" s="73">
        <f t="shared" si="5"/>
        <v>62640</v>
      </c>
      <c r="Q25" s="73">
        <f t="shared" si="6"/>
        <v>64950</v>
      </c>
    </row>
    <row r="26" spans="1:17" s="13" customFormat="1" ht="33" x14ac:dyDescent="0.25">
      <c r="A26" s="7"/>
      <c r="B26" s="7"/>
      <c r="C26" s="7"/>
      <c r="D26" s="7"/>
      <c r="E26" s="27" t="s">
        <v>25</v>
      </c>
      <c r="F26" s="87">
        <v>280520</v>
      </c>
      <c r="G26" s="87">
        <v>564580</v>
      </c>
      <c r="H26" s="87">
        <v>885080</v>
      </c>
      <c r="I26" s="87">
        <v>1193250</v>
      </c>
      <c r="J26" s="43">
        <f t="shared" ref="J26:L26" si="16">SUM(J27:J29)</f>
        <v>-11920</v>
      </c>
      <c r="K26" s="43">
        <f t="shared" si="16"/>
        <v>-11920</v>
      </c>
      <c r="L26" s="43">
        <f t="shared" si="16"/>
        <v>-11920</v>
      </c>
      <c r="M26" s="43">
        <f t="shared" ref="M26" si="17">SUM(M27:M29)</f>
        <v>-11920</v>
      </c>
      <c r="N26" s="73">
        <f t="shared" si="3"/>
        <v>292440</v>
      </c>
      <c r="O26" s="73">
        <f t="shared" si="4"/>
        <v>576500</v>
      </c>
      <c r="P26" s="73">
        <f t="shared" si="5"/>
        <v>897000</v>
      </c>
      <c r="Q26" s="73">
        <f t="shared" si="6"/>
        <v>1205170</v>
      </c>
    </row>
    <row r="27" spans="1:17" s="13" customFormat="1" ht="49.5" x14ac:dyDescent="0.25">
      <c r="A27" s="24"/>
      <c r="B27" s="24"/>
      <c r="C27" s="24"/>
      <c r="D27" s="24"/>
      <c r="E27" s="35" t="s">
        <v>110</v>
      </c>
      <c r="F27" s="88">
        <v>222840</v>
      </c>
      <c r="G27" s="88">
        <v>426300</v>
      </c>
      <c r="H27" s="88">
        <v>651800</v>
      </c>
      <c r="I27" s="124">
        <v>864970</v>
      </c>
      <c r="J27" s="48">
        <v>7800</v>
      </c>
      <c r="K27" s="48">
        <v>7800</v>
      </c>
      <c r="L27" s="48">
        <v>7800</v>
      </c>
      <c r="M27" s="48">
        <v>7800</v>
      </c>
      <c r="N27" s="73">
        <f t="shared" si="3"/>
        <v>215040</v>
      </c>
      <c r="O27" s="73">
        <f t="shared" si="4"/>
        <v>418500</v>
      </c>
      <c r="P27" s="73">
        <f t="shared" si="5"/>
        <v>644000</v>
      </c>
      <c r="Q27" s="73">
        <f t="shared" si="6"/>
        <v>857170</v>
      </c>
    </row>
    <row r="28" spans="1:17" s="13" customFormat="1" ht="82.5" x14ac:dyDescent="0.25">
      <c r="A28" s="24"/>
      <c r="B28" s="24"/>
      <c r="C28" s="24"/>
      <c r="D28" s="24"/>
      <c r="E28" s="36" t="s">
        <v>122</v>
      </c>
      <c r="F28" s="88">
        <v>77400</v>
      </c>
      <c r="G28" s="88">
        <v>158000</v>
      </c>
      <c r="H28" s="88">
        <v>253000</v>
      </c>
      <c r="I28" s="124">
        <v>348000</v>
      </c>
      <c r="J28" s="48"/>
      <c r="K28" s="48"/>
      <c r="L28" s="48"/>
      <c r="M28" s="48"/>
      <c r="N28" s="73">
        <f t="shared" si="3"/>
        <v>77400</v>
      </c>
      <c r="O28" s="73">
        <f t="shared" si="4"/>
        <v>158000</v>
      </c>
      <c r="P28" s="73">
        <f t="shared" si="5"/>
        <v>253000</v>
      </c>
      <c r="Q28" s="73">
        <f t="shared" si="6"/>
        <v>348000</v>
      </c>
    </row>
    <row r="29" spans="1:17" s="13" customFormat="1" ht="49.5" x14ac:dyDescent="0.25">
      <c r="A29" s="24"/>
      <c r="B29" s="24"/>
      <c r="C29" s="24"/>
      <c r="D29" s="24"/>
      <c r="E29" s="36" t="s">
        <v>74</v>
      </c>
      <c r="F29" s="124">
        <v>-19720</v>
      </c>
      <c r="G29" s="124">
        <v>-19720</v>
      </c>
      <c r="H29" s="124">
        <v>-19720</v>
      </c>
      <c r="I29" s="124">
        <v>-19720</v>
      </c>
      <c r="J29" s="48">
        <v>-19720</v>
      </c>
      <c r="K29" s="48">
        <v>-19720</v>
      </c>
      <c r="L29" s="48">
        <v>-19720</v>
      </c>
      <c r="M29" s="48">
        <v>-19720</v>
      </c>
      <c r="N29" s="73">
        <f t="shared" si="3"/>
        <v>0</v>
      </c>
      <c r="O29" s="73">
        <f t="shared" si="4"/>
        <v>0</v>
      </c>
      <c r="P29" s="73">
        <f t="shared" si="5"/>
        <v>0</v>
      </c>
      <c r="Q29" s="73">
        <f t="shared" si="6"/>
        <v>0</v>
      </c>
    </row>
    <row r="30" spans="1:17" s="13" customFormat="1" ht="33" x14ac:dyDescent="0.25">
      <c r="A30" s="7"/>
      <c r="B30" s="7"/>
      <c r="C30" s="7"/>
      <c r="D30" s="7"/>
      <c r="E30" s="27" t="s">
        <v>26</v>
      </c>
      <c r="F30" s="87">
        <v>-348</v>
      </c>
      <c r="G30" s="87">
        <v>-348</v>
      </c>
      <c r="H30" s="87">
        <v>-348</v>
      </c>
      <c r="I30" s="87">
        <v>-348</v>
      </c>
      <c r="J30" s="43">
        <f t="shared" ref="J30:L30" si="18">J31</f>
        <v>0</v>
      </c>
      <c r="K30" s="43">
        <f t="shared" si="18"/>
        <v>0</v>
      </c>
      <c r="L30" s="43">
        <f t="shared" si="18"/>
        <v>0</v>
      </c>
      <c r="M30" s="43">
        <f>M31</f>
        <v>0</v>
      </c>
      <c r="N30" s="73">
        <f t="shared" si="3"/>
        <v>-348</v>
      </c>
      <c r="O30" s="73">
        <f t="shared" si="4"/>
        <v>-348</v>
      </c>
      <c r="P30" s="73">
        <f t="shared" si="5"/>
        <v>-348</v>
      </c>
      <c r="Q30" s="73">
        <f t="shared" si="6"/>
        <v>-348</v>
      </c>
    </row>
    <row r="31" spans="1:17" s="13" customFormat="1" ht="66" x14ac:dyDescent="0.25">
      <c r="A31" s="24"/>
      <c r="B31" s="24"/>
      <c r="C31" s="24"/>
      <c r="D31" s="24"/>
      <c r="E31" s="29" t="s">
        <v>27</v>
      </c>
      <c r="F31" s="88">
        <v>-348</v>
      </c>
      <c r="G31" s="88">
        <v>-348</v>
      </c>
      <c r="H31" s="88">
        <v>-348</v>
      </c>
      <c r="I31" s="48">
        <v>-348</v>
      </c>
      <c r="J31" s="48"/>
      <c r="K31" s="48"/>
      <c r="L31" s="48"/>
      <c r="M31" s="48"/>
      <c r="N31" s="73">
        <f t="shared" si="3"/>
        <v>-348</v>
      </c>
      <c r="O31" s="73">
        <f t="shared" si="4"/>
        <v>-348</v>
      </c>
      <c r="P31" s="73">
        <f t="shared" si="5"/>
        <v>-348</v>
      </c>
      <c r="Q31" s="73">
        <f t="shared" si="6"/>
        <v>-348</v>
      </c>
    </row>
    <row r="32" spans="1:17" s="13" customFormat="1" ht="49.5" x14ac:dyDescent="0.25">
      <c r="A32" s="7"/>
      <c r="B32" s="7"/>
      <c r="C32" s="7"/>
      <c r="D32" s="7"/>
      <c r="E32" s="27" t="s">
        <v>28</v>
      </c>
      <c r="F32" s="87">
        <f>SUM(F33)</f>
        <v>670</v>
      </c>
      <c r="G32" s="87">
        <f t="shared" ref="G32:I32" si="19">SUM(G33)</f>
        <v>1587</v>
      </c>
      <c r="H32" s="87">
        <f t="shared" si="19"/>
        <v>2140</v>
      </c>
      <c r="I32" s="87">
        <f t="shared" si="19"/>
        <v>2690</v>
      </c>
      <c r="J32" s="43">
        <f t="shared" ref="J32:L32" si="20">J33</f>
        <v>670</v>
      </c>
      <c r="K32" s="43">
        <f t="shared" si="20"/>
        <v>670</v>
      </c>
      <c r="L32" s="43">
        <f t="shared" si="20"/>
        <v>670</v>
      </c>
      <c r="M32" s="43">
        <f>M33</f>
        <v>670</v>
      </c>
      <c r="N32" s="73">
        <f t="shared" si="3"/>
        <v>0</v>
      </c>
      <c r="O32" s="73">
        <f t="shared" si="4"/>
        <v>917</v>
      </c>
      <c r="P32" s="73">
        <f t="shared" si="5"/>
        <v>1470</v>
      </c>
      <c r="Q32" s="73">
        <f t="shared" si="6"/>
        <v>2020</v>
      </c>
    </row>
    <row r="33" spans="1:17" s="13" customFormat="1" ht="33" x14ac:dyDescent="0.25">
      <c r="A33" s="24"/>
      <c r="B33" s="24"/>
      <c r="C33" s="24"/>
      <c r="D33" s="24"/>
      <c r="E33" s="30" t="s">
        <v>29</v>
      </c>
      <c r="F33" s="88">
        <v>670</v>
      </c>
      <c r="G33" s="88">
        <v>1587</v>
      </c>
      <c r="H33" s="88">
        <v>2140</v>
      </c>
      <c r="I33" s="48">
        <v>2690</v>
      </c>
      <c r="J33" s="48">
        <f t="shared" ref="J33:L33" si="21">750-80</f>
        <v>670</v>
      </c>
      <c r="K33" s="48">
        <f t="shared" si="21"/>
        <v>670</v>
      </c>
      <c r="L33" s="48">
        <f t="shared" si="21"/>
        <v>670</v>
      </c>
      <c r="M33" s="48">
        <f>750-80</f>
        <v>670</v>
      </c>
      <c r="N33" s="73">
        <f t="shared" si="3"/>
        <v>0</v>
      </c>
      <c r="O33" s="73">
        <f t="shared" si="4"/>
        <v>917</v>
      </c>
      <c r="P33" s="73">
        <f t="shared" si="5"/>
        <v>1470</v>
      </c>
      <c r="Q33" s="73">
        <f t="shared" si="6"/>
        <v>2020</v>
      </c>
    </row>
    <row r="34" spans="1:17" s="13" customFormat="1" ht="33" x14ac:dyDescent="0.25">
      <c r="A34" s="7"/>
      <c r="B34" s="7"/>
      <c r="C34" s="7"/>
      <c r="D34" s="7"/>
      <c r="E34" s="27" t="s">
        <v>30</v>
      </c>
      <c r="F34" s="87">
        <f>SUM(F35:F36)</f>
        <v>6210</v>
      </c>
      <c r="G34" s="87">
        <f t="shared" ref="G34:L34" si="22">SUM(G35:G36)</f>
        <v>12770</v>
      </c>
      <c r="H34" s="87">
        <f t="shared" si="22"/>
        <v>20510</v>
      </c>
      <c r="I34" s="87">
        <f t="shared" si="22"/>
        <v>28240</v>
      </c>
      <c r="J34" s="43">
        <f t="shared" si="22"/>
        <v>-90</v>
      </c>
      <c r="K34" s="43">
        <f t="shared" si="22"/>
        <v>-90</v>
      </c>
      <c r="L34" s="43">
        <f t="shared" si="22"/>
        <v>-90</v>
      </c>
      <c r="M34" s="43">
        <f t="shared" ref="M34" si="23">SUM(M35:M36)</f>
        <v>-90</v>
      </c>
      <c r="N34" s="73">
        <f t="shared" si="3"/>
        <v>6300</v>
      </c>
      <c r="O34" s="73">
        <f t="shared" si="4"/>
        <v>12860</v>
      </c>
      <c r="P34" s="73">
        <f t="shared" si="5"/>
        <v>20600</v>
      </c>
      <c r="Q34" s="73">
        <f t="shared" si="6"/>
        <v>28330</v>
      </c>
    </row>
    <row r="35" spans="1:17" s="13" customFormat="1" ht="49.5" x14ac:dyDescent="0.25">
      <c r="A35" s="24"/>
      <c r="B35" s="24"/>
      <c r="C35" s="24"/>
      <c r="D35" s="24"/>
      <c r="E35" s="46" t="s">
        <v>75</v>
      </c>
      <c r="F35" s="124">
        <v>-600</v>
      </c>
      <c r="G35" s="124">
        <v>-600</v>
      </c>
      <c r="H35" s="124">
        <v>-600</v>
      </c>
      <c r="I35" s="124">
        <v>-600</v>
      </c>
      <c r="J35" s="48">
        <v>-600</v>
      </c>
      <c r="K35" s="48">
        <v>-600</v>
      </c>
      <c r="L35" s="48">
        <v>-600</v>
      </c>
      <c r="M35" s="48">
        <v>-600</v>
      </c>
      <c r="N35" s="73">
        <f t="shared" si="3"/>
        <v>0</v>
      </c>
      <c r="O35" s="73">
        <f t="shared" si="4"/>
        <v>0</v>
      </c>
      <c r="P35" s="73">
        <f t="shared" si="5"/>
        <v>0</v>
      </c>
      <c r="Q35" s="73">
        <f t="shared" si="6"/>
        <v>0</v>
      </c>
    </row>
    <row r="36" spans="1:17" s="13" customFormat="1" ht="49.5" x14ac:dyDescent="0.25">
      <c r="A36" s="24"/>
      <c r="B36" s="24"/>
      <c r="C36" s="24"/>
      <c r="D36" s="24"/>
      <c r="E36" s="46" t="s">
        <v>123</v>
      </c>
      <c r="F36" s="88">
        <v>6810</v>
      </c>
      <c r="G36" s="88">
        <v>13370</v>
      </c>
      <c r="H36" s="88">
        <v>21110</v>
      </c>
      <c r="I36" s="124">
        <v>28840</v>
      </c>
      <c r="J36" s="48">
        <v>510</v>
      </c>
      <c r="K36" s="48">
        <v>510</v>
      </c>
      <c r="L36" s="48">
        <v>510</v>
      </c>
      <c r="M36" s="48">
        <v>510</v>
      </c>
      <c r="N36" s="73">
        <f t="shared" si="3"/>
        <v>6300</v>
      </c>
      <c r="O36" s="73">
        <f t="shared" si="4"/>
        <v>12860</v>
      </c>
      <c r="P36" s="73">
        <f t="shared" si="5"/>
        <v>20600</v>
      </c>
      <c r="Q36" s="73">
        <f t="shared" si="6"/>
        <v>28330</v>
      </c>
    </row>
    <row r="37" spans="1:17" s="13" customFormat="1" ht="33" x14ac:dyDescent="0.25">
      <c r="A37" s="7"/>
      <c r="B37" s="7"/>
      <c r="C37" s="7"/>
      <c r="D37" s="7"/>
      <c r="E37" s="27" t="s">
        <v>76</v>
      </c>
      <c r="F37" s="87">
        <f>SUM(F38:F39)</f>
        <v>272631.7</v>
      </c>
      <c r="G37" s="87">
        <f t="shared" ref="G37:I37" si="24">SUM(G38:G39)</f>
        <v>680352</v>
      </c>
      <c r="H37" s="87">
        <f t="shared" si="24"/>
        <v>1076209</v>
      </c>
      <c r="I37" s="87">
        <f t="shared" si="24"/>
        <v>1459380</v>
      </c>
      <c r="J37" s="43">
        <f t="shared" ref="J37:L37" si="25">J38+J39</f>
        <v>-11620</v>
      </c>
      <c r="K37" s="43">
        <f t="shared" si="25"/>
        <v>-11620</v>
      </c>
      <c r="L37" s="43">
        <f t="shared" si="25"/>
        <v>-11620</v>
      </c>
      <c r="M37" s="43">
        <f t="shared" ref="M37" si="26">M38+M39</f>
        <v>-11620</v>
      </c>
      <c r="N37" s="73">
        <f t="shared" si="3"/>
        <v>284251.7</v>
      </c>
      <c r="O37" s="73">
        <f t="shared" si="4"/>
        <v>691972</v>
      </c>
      <c r="P37" s="73">
        <f t="shared" si="5"/>
        <v>1087829</v>
      </c>
      <c r="Q37" s="73">
        <f t="shared" si="6"/>
        <v>1471000</v>
      </c>
    </row>
    <row r="38" spans="1:17" s="13" customFormat="1" ht="49.5" x14ac:dyDescent="0.25">
      <c r="A38" s="24"/>
      <c r="B38" s="24"/>
      <c r="C38" s="24"/>
      <c r="D38" s="24"/>
      <c r="E38" s="30" t="s">
        <v>31</v>
      </c>
      <c r="F38" s="88">
        <f>271370+1261.7</f>
        <v>272631.7</v>
      </c>
      <c r="G38" s="88">
        <f>675852+4500</f>
        <v>680352</v>
      </c>
      <c r="H38" s="88">
        <f>1068909-2700</f>
        <v>1066209</v>
      </c>
      <c r="I38" s="48">
        <v>1449380</v>
      </c>
      <c r="J38" s="48">
        <f t="shared" ref="J38:L38" si="27">14400-36020</f>
        <v>-21620</v>
      </c>
      <c r="K38" s="48">
        <f t="shared" si="27"/>
        <v>-21620</v>
      </c>
      <c r="L38" s="48">
        <f t="shared" si="27"/>
        <v>-21620</v>
      </c>
      <c r="M38" s="48">
        <f>14400-36020</f>
        <v>-21620</v>
      </c>
      <c r="N38" s="73">
        <f t="shared" si="3"/>
        <v>294251.7</v>
      </c>
      <c r="O38" s="73">
        <f t="shared" si="4"/>
        <v>701972</v>
      </c>
      <c r="P38" s="73">
        <f t="shared" si="5"/>
        <v>1087829</v>
      </c>
      <c r="Q38" s="73">
        <f t="shared" si="6"/>
        <v>1471000</v>
      </c>
    </row>
    <row r="39" spans="1:17" s="13" customFormat="1" ht="115.5" x14ac:dyDescent="0.25">
      <c r="A39" s="24"/>
      <c r="B39" s="24"/>
      <c r="C39" s="24"/>
      <c r="D39" s="24"/>
      <c r="E39" s="33" t="s">
        <v>114</v>
      </c>
      <c r="F39" s="88">
        <v>0</v>
      </c>
      <c r="G39" s="88">
        <v>0</v>
      </c>
      <c r="H39" s="88">
        <v>10000</v>
      </c>
      <c r="I39" s="48">
        <v>10000</v>
      </c>
      <c r="J39" s="48">
        <v>10000</v>
      </c>
      <c r="K39" s="48">
        <v>10000</v>
      </c>
      <c r="L39" s="48">
        <v>10000</v>
      </c>
      <c r="M39" s="48">
        <v>10000</v>
      </c>
      <c r="N39" s="73">
        <f t="shared" si="3"/>
        <v>-10000</v>
      </c>
      <c r="O39" s="73">
        <f t="shared" si="4"/>
        <v>-10000</v>
      </c>
      <c r="P39" s="73">
        <f t="shared" si="5"/>
        <v>0</v>
      </c>
      <c r="Q39" s="73">
        <f t="shared" si="6"/>
        <v>0</v>
      </c>
    </row>
    <row r="40" spans="1:17" s="13" customFormat="1" ht="49.5" x14ac:dyDescent="0.25">
      <c r="A40" s="31"/>
      <c r="B40" s="31"/>
      <c r="C40" s="31"/>
      <c r="D40" s="32"/>
      <c r="E40" s="26" t="s">
        <v>158</v>
      </c>
      <c r="F40" s="87">
        <f>SUM(F42+F44+F46+F48)</f>
        <v>-5028</v>
      </c>
      <c r="G40" s="87">
        <f t="shared" ref="G40:I40" si="28">SUM(G42+G44+G46+G48)</f>
        <v>13472</v>
      </c>
      <c r="H40" s="87">
        <f t="shared" si="28"/>
        <v>120705.4</v>
      </c>
      <c r="I40" s="87">
        <f t="shared" si="28"/>
        <v>189062</v>
      </c>
      <c r="J40" s="82">
        <f t="shared" ref="J40:L40" si="29">SUM(J42+J44+J48+J46)</f>
        <v>-5140</v>
      </c>
      <c r="K40" s="82">
        <f t="shared" si="29"/>
        <v>-5140</v>
      </c>
      <c r="L40" s="82">
        <f t="shared" si="29"/>
        <v>-5140</v>
      </c>
      <c r="M40" s="82">
        <f t="shared" ref="M40" si="30">SUM(M42+M44+M48+M46)</f>
        <v>-5140</v>
      </c>
      <c r="N40" s="73">
        <f t="shared" si="3"/>
        <v>112</v>
      </c>
      <c r="O40" s="73">
        <f t="shared" si="4"/>
        <v>18612</v>
      </c>
      <c r="P40" s="73">
        <f t="shared" si="5"/>
        <v>125845.4</v>
      </c>
      <c r="Q40" s="73">
        <f t="shared" si="6"/>
        <v>194202</v>
      </c>
    </row>
    <row r="41" spans="1:17" s="13" customFormat="1" x14ac:dyDescent="0.25">
      <c r="A41" s="7"/>
      <c r="B41" s="7"/>
      <c r="C41" s="7"/>
      <c r="D41" s="8"/>
      <c r="E41" s="22" t="s">
        <v>73</v>
      </c>
      <c r="F41" s="87">
        <v>0</v>
      </c>
      <c r="G41" s="87">
        <v>0</v>
      </c>
      <c r="H41" s="87">
        <v>0</v>
      </c>
      <c r="I41" s="87">
        <v>0</v>
      </c>
      <c r="J41" s="83"/>
      <c r="K41" s="83"/>
      <c r="L41" s="83"/>
      <c r="M41" s="83"/>
      <c r="N41" s="73">
        <f t="shared" si="3"/>
        <v>0</v>
      </c>
      <c r="O41" s="73">
        <f t="shared" si="4"/>
        <v>0</v>
      </c>
      <c r="P41" s="73">
        <f t="shared" si="5"/>
        <v>0</v>
      </c>
      <c r="Q41" s="73">
        <f t="shared" si="6"/>
        <v>0</v>
      </c>
    </row>
    <row r="42" spans="1:17" s="13" customFormat="1" ht="49.5" x14ac:dyDescent="0.25">
      <c r="A42" s="7"/>
      <c r="B42" s="7"/>
      <c r="C42" s="7"/>
      <c r="D42" s="7"/>
      <c r="E42" s="27" t="s">
        <v>32</v>
      </c>
      <c r="F42" s="87">
        <v>-54188</v>
      </c>
      <c r="G42" s="87">
        <v>-54188</v>
      </c>
      <c r="H42" s="87">
        <v>-54188</v>
      </c>
      <c r="I42" s="87">
        <v>-54188</v>
      </c>
      <c r="J42" s="43">
        <f t="shared" ref="J42:L42" si="31">J43</f>
        <v>0</v>
      </c>
      <c r="K42" s="43">
        <f t="shared" si="31"/>
        <v>0</v>
      </c>
      <c r="L42" s="43">
        <f t="shared" si="31"/>
        <v>0</v>
      </c>
      <c r="M42" s="43">
        <f>M43</f>
        <v>0</v>
      </c>
      <c r="N42" s="73">
        <f t="shared" si="3"/>
        <v>-54188</v>
      </c>
      <c r="O42" s="73">
        <f t="shared" si="4"/>
        <v>-54188</v>
      </c>
      <c r="P42" s="73">
        <f t="shared" si="5"/>
        <v>-54188</v>
      </c>
      <c r="Q42" s="73">
        <f t="shared" si="6"/>
        <v>-54188</v>
      </c>
    </row>
    <row r="43" spans="1:17" s="13" customFormat="1" ht="33" x14ac:dyDescent="0.25">
      <c r="A43" s="24"/>
      <c r="B43" s="24"/>
      <c r="C43" s="24"/>
      <c r="D43" s="24"/>
      <c r="E43" s="33" t="s">
        <v>33</v>
      </c>
      <c r="F43" s="88">
        <v>-54188</v>
      </c>
      <c r="G43" s="88">
        <v>-54188</v>
      </c>
      <c r="H43" s="88">
        <v>-54188</v>
      </c>
      <c r="I43" s="48">
        <v>-54188</v>
      </c>
      <c r="J43" s="48"/>
      <c r="K43" s="48"/>
      <c r="L43" s="48"/>
      <c r="M43" s="48"/>
      <c r="N43" s="73">
        <f t="shared" si="3"/>
        <v>-54188</v>
      </c>
      <c r="O43" s="73">
        <f t="shared" si="4"/>
        <v>-54188</v>
      </c>
      <c r="P43" s="73">
        <f t="shared" si="5"/>
        <v>-54188</v>
      </c>
      <c r="Q43" s="73">
        <f t="shared" si="6"/>
        <v>-54188</v>
      </c>
    </row>
    <row r="44" spans="1:17" s="13" customFormat="1" ht="33" x14ac:dyDescent="0.25">
      <c r="A44" s="7"/>
      <c r="B44" s="7"/>
      <c r="C44" s="7"/>
      <c r="D44" s="7"/>
      <c r="E44" s="27" t="s">
        <v>34</v>
      </c>
      <c r="F44" s="87">
        <v>45170</v>
      </c>
      <c r="G44" s="87">
        <v>54570</v>
      </c>
      <c r="H44" s="87">
        <v>151570</v>
      </c>
      <c r="I44" s="43">
        <v>208740</v>
      </c>
      <c r="J44" s="43">
        <f t="shared" ref="J44:L44" si="32">J45</f>
        <v>-430</v>
      </c>
      <c r="K44" s="43">
        <f t="shared" si="32"/>
        <v>-430</v>
      </c>
      <c r="L44" s="43">
        <f t="shared" si="32"/>
        <v>-430</v>
      </c>
      <c r="M44" s="43">
        <f>M45</f>
        <v>-430</v>
      </c>
      <c r="N44" s="73">
        <f t="shared" si="3"/>
        <v>45600</v>
      </c>
      <c r="O44" s="73">
        <f t="shared" si="4"/>
        <v>55000</v>
      </c>
      <c r="P44" s="73">
        <f t="shared" si="5"/>
        <v>152000</v>
      </c>
      <c r="Q44" s="73">
        <f t="shared" si="6"/>
        <v>209170</v>
      </c>
    </row>
    <row r="45" spans="1:17" s="13" customFormat="1" ht="49.5" x14ac:dyDescent="0.25">
      <c r="A45" s="24"/>
      <c r="B45" s="24"/>
      <c r="C45" s="24"/>
      <c r="D45" s="24"/>
      <c r="E45" s="44" t="s">
        <v>35</v>
      </c>
      <c r="F45" s="88">
        <v>45170</v>
      </c>
      <c r="G45" s="88">
        <v>54570</v>
      </c>
      <c r="H45" s="88">
        <v>151570</v>
      </c>
      <c r="I45" s="48">
        <v>208740</v>
      </c>
      <c r="J45" s="48">
        <f t="shared" ref="J45:L45" si="33">3570-4000</f>
        <v>-430</v>
      </c>
      <c r="K45" s="48">
        <f t="shared" si="33"/>
        <v>-430</v>
      </c>
      <c r="L45" s="48">
        <f t="shared" si="33"/>
        <v>-430</v>
      </c>
      <c r="M45" s="48">
        <f>3570-4000</f>
        <v>-430</v>
      </c>
      <c r="N45" s="73">
        <f t="shared" si="3"/>
        <v>45600</v>
      </c>
      <c r="O45" s="73">
        <f t="shared" si="4"/>
        <v>55000</v>
      </c>
      <c r="P45" s="73">
        <f t="shared" si="5"/>
        <v>152000</v>
      </c>
      <c r="Q45" s="73">
        <f t="shared" si="6"/>
        <v>209170</v>
      </c>
    </row>
    <row r="46" spans="1:17" s="13" customFormat="1" ht="33" x14ac:dyDescent="0.25">
      <c r="A46" s="24"/>
      <c r="B46" s="24"/>
      <c r="C46" s="24"/>
      <c r="D46" s="24"/>
      <c r="E46" s="27" t="s">
        <v>65</v>
      </c>
      <c r="F46" s="87">
        <v>-4000</v>
      </c>
      <c r="G46" s="87">
        <v>-4000</v>
      </c>
      <c r="H46" s="87">
        <v>-4000</v>
      </c>
      <c r="I46" s="87">
        <v>-4000</v>
      </c>
      <c r="J46" s="82">
        <f t="shared" ref="J46:L46" si="34">SUM(J47)</f>
        <v>-4000</v>
      </c>
      <c r="K46" s="82">
        <f t="shared" si="34"/>
        <v>-4000</v>
      </c>
      <c r="L46" s="82">
        <f t="shared" si="34"/>
        <v>-4000</v>
      </c>
      <c r="M46" s="82">
        <f t="shared" ref="M46" si="35">SUM(M47)</f>
        <v>-4000</v>
      </c>
      <c r="N46" s="73">
        <f t="shared" si="3"/>
        <v>0</v>
      </c>
      <c r="O46" s="73">
        <f t="shared" si="4"/>
        <v>0</v>
      </c>
      <c r="P46" s="73">
        <f t="shared" si="5"/>
        <v>0</v>
      </c>
      <c r="Q46" s="73">
        <f t="shared" si="6"/>
        <v>0</v>
      </c>
    </row>
    <row r="47" spans="1:17" s="13" customFormat="1" ht="33" x14ac:dyDescent="0.25">
      <c r="A47" s="24"/>
      <c r="B47" s="24"/>
      <c r="C47" s="24"/>
      <c r="D47" s="24"/>
      <c r="E47" s="30" t="s">
        <v>77</v>
      </c>
      <c r="F47" s="124">
        <v>-4000</v>
      </c>
      <c r="G47" s="124">
        <v>-4000</v>
      </c>
      <c r="H47" s="124">
        <v>-4000</v>
      </c>
      <c r="I47" s="124">
        <v>-4000</v>
      </c>
      <c r="J47" s="48">
        <v>-4000</v>
      </c>
      <c r="K47" s="48">
        <v>-4000</v>
      </c>
      <c r="L47" s="48">
        <v>-4000</v>
      </c>
      <c r="M47" s="48">
        <v>-4000</v>
      </c>
      <c r="N47" s="73">
        <f t="shared" ref="N47:N66" si="36">SUM(F47-J47)</f>
        <v>0</v>
      </c>
      <c r="O47" s="73">
        <f t="shared" ref="O47:O66" si="37">SUM(G47-K47)</f>
        <v>0</v>
      </c>
      <c r="P47" s="73">
        <f t="shared" ref="P47:P66" si="38">SUM(H47-L47)</f>
        <v>0</v>
      </c>
      <c r="Q47" s="73">
        <f t="shared" ref="Q47:Q66" si="39">SUM(I47-M47)</f>
        <v>0</v>
      </c>
    </row>
    <row r="48" spans="1:17" s="13" customFormat="1" ht="66" x14ac:dyDescent="0.25">
      <c r="A48" s="7"/>
      <c r="B48" s="7"/>
      <c r="C48" s="7"/>
      <c r="D48" s="7"/>
      <c r="E48" s="27" t="s">
        <v>36</v>
      </c>
      <c r="F48" s="87">
        <v>7990</v>
      </c>
      <c r="G48" s="87">
        <v>17090</v>
      </c>
      <c r="H48" s="87">
        <v>27323.4</v>
      </c>
      <c r="I48" s="43">
        <v>38510</v>
      </c>
      <c r="J48" s="43">
        <f t="shared" ref="J48:L48" si="40">J49</f>
        <v>-710</v>
      </c>
      <c r="K48" s="43">
        <f t="shared" si="40"/>
        <v>-710</v>
      </c>
      <c r="L48" s="43">
        <f t="shared" si="40"/>
        <v>-710</v>
      </c>
      <c r="M48" s="43">
        <f>M49</f>
        <v>-710</v>
      </c>
      <c r="N48" s="73">
        <f t="shared" si="36"/>
        <v>8700</v>
      </c>
      <c r="O48" s="73">
        <f t="shared" si="37"/>
        <v>17800</v>
      </c>
      <c r="P48" s="73">
        <f t="shared" si="38"/>
        <v>28033.4</v>
      </c>
      <c r="Q48" s="73">
        <f t="shared" si="39"/>
        <v>39220</v>
      </c>
    </row>
    <row r="49" spans="1:17" s="13" customFormat="1" ht="33" x14ac:dyDescent="0.25">
      <c r="A49" s="24"/>
      <c r="B49" s="24"/>
      <c r="C49" s="24"/>
      <c r="D49" s="24"/>
      <c r="E49" s="44" t="s">
        <v>37</v>
      </c>
      <c r="F49" s="88">
        <v>7990</v>
      </c>
      <c r="G49" s="88">
        <v>17090</v>
      </c>
      <c r="H49" s="88">
        <v>27323.4</v>
      </c>
      <c r="I49" s="48">
        <v>38510</v>
      </c>
      <c r="J49" s="48">
        <f t="shared" ref="J49:L49" si="41">250-960</f>
        <v>-710</v>
      </c>
      <c r="K49" s="48">
        <f t="shared" si="41"/>
        <v>-710</v>
      </c>
      <c r="L49" s="48">
        <f t="shared" si="41"/>
        <v>-710</v>
      </c>
      <c r="M49" s="48">
        <f>250-960</f>
        <v>-710</v>
      </c>
      <c r="N49" s="73">
        <f t="shared" si="36"/>
        <v>8700</v>
      </c>
      <c r="O49" s="73">
        <f t="shared" si="37"/>
        <v>17800</v>
      </c>
      <c r="P49" s="73">
        <f t="shared" si="38"/>
        <v>28033.4</v>
      </c>
      <c r="Q49" s="73">
        <f t="shared" si="39"/>
        <v>39220</v>
      </c>
    </row>
    <row r="50" spans="1:17" s="13" customFormat="1" ht="49.5" x14ac:dyDescent="0.25">
      <c r="A50" s="31"/>
      <c r="B50" s="31"/>
      <c r="C50" s="31"/>
      <c r="D50" s="32"/>
      <c r="E50" s="47" t="s">
        <v>159</v>
      </c>
      <c r="F50" s="87">
        <f>SUM(F52+F54+F55+F56+F57+F58+F59+F60+F61+F62+F63+F64+F65+F66)</f>
        <v>357760.8</v>
      </c>
      <c r="G50" s="87">
        <f>SUM(G52+G54+G55+G56+G57+G58+G59+G60+G61+G62+G63+G64+G65+G66)</f>
        <v>517390.8</v>
      </c>
      <c r="H50" s="87">
        <f>SUM(H52+H54+H55+H56+H57+H58+H59+H60+H61+H62+H63+H64+H65+H66)</f>
        <v>890890.8</v>
      </c>
      <c r="I50" s="87">
        <f>SUM(I52+I54+I55+I56+I57+I58+I59+I60+I61+I62+I63+I64+I65+I66)</f>
        <v>1602193.8</v>
      </c>
      <c r="J50" s="82">
        <f t="shared" ref="J50:L50" si="42">SUM(J52+J54+J55+J56+J57+J58+J59+J60+J61+J62+J63+J64+J65+J66)</f>
        <v>-9180</v>
      </c>
      <c r="K50" s="82">
        <f t="shared" si="42"/>
        <v>-9180</v>
      </c>
      <c r="L50" s="82">
        <f t="shared" si="42"/>
        <v>-9180</v>
      </c>
      <c r="M50" s="82">
        <f t="shared" ref="M50" si="43">SUM(M52+M54+M55+M56+M57+M58+M59+M60+M61+M62+M63+M64+M65+M66)</f>
        <v>-9180</v>
      </c>
      <c r="N50" s="73">
        <f t="shared" si="36"/>
        <v>366940.8</v>
      </c>
      <c r="O50" s="73">
        <f t="shared" si="37"/>
        <v>526570.80000000005</v>
      </c>
      <c r="P50" s="73">
        <f t="shared" si="38"/>
        <v>900070.8</v>
      </c>
      <c r="Q50" s="73">
        <f t="shared" si="39"/>
        <v>1611373.8</v>
      </c>
    </row>
    <row r="51" spans="1:17" s="13" customFormat="1" x14ac:dyDescent="0.25">
      <c r="A51" s="8"/>
      <c r="B51" s="8"/>
      <c r="C51" s="8"/>
      <c r="D51" s="24"/>
      <c r="E51" s="22" t="s">
        <v>73</v>
      </c>
      <c r="F51" s="87">
        <v>0</v>
      </c>
      <c r="G51" s="87">
        <v>0</v>
      </c>
      <c r="H51" s="87">
        <v>0</v>
      </c>
      <c r="I51" s="91">
        <v>0</v>
      </c>
      <c r="J51" s="83"/>
      <c r="K51" s="83"/>
      <c r="L51" s="83"/>
      <c r="M51" s="83"/>
      <c r="N51" s="73">
        <f t="shared" si="36"/>
        <v>0</v>
      </c>
      <c r="O51" s="73">
        <f t="shared" si="37"/>
        <v>0</v>
      </c>
      <c r="P51" s="73">
        <f t="shared" si="38"/>
        <v>0</v>
      </c>
      <c r="Q51" s="73">
        <f t="shared" si="39"/>
        <v>0</v>
      </c>
    </row>
    <row r="52" spans="1:17" s="13" customFormat="1" ht="33" x14ac:dyDescent="0.25">
      <c r="A52" s="7"/>
      <c r="B52" s="7"/>
      <c r="C52" s="7"/>
      <c r="D52" s="7"/>
      <c r="E52" s="27" t="s">
        <v>38</v>
      </c>
      <c r="F52" s="87">
        <v>8770.7999999999993</v>
      </c>
      <c r="G52" s="87">
        <v>8770.7999999999993</v>
      </c>
      <c r="H52" s="87">
        <v>8770.7999999999993</v>
      </c>
      <c r="I52" s="87">
        <v>8770.8000000000029</v>
      </c>
      <c r="J52" s="43">
        <f t="shared" ref="J52:L52" si="44">SUM(J53:J53)</f>
        <v>0</v>
      </c>
      <c r="K52" s="43">
        <f t="shared" si="44"/>
        <v>0</v>
      </c>
      <c r="L52" s="43">
        <f t="shared" si="44"/>
        <v>0</v>
      </c>
      <c r="M52" s="43">
        <f>SUM(M53:M53)</f>
        <v>0</v>
      </c>
      <c r="N52" s="73">
        <f t="shared" si="36"/>
        <v>8770.7999999999993</v>
      </c>
      <c r="O52" s="73">
        <f t="shared" si="37"/>
        <v>8770.7999999999993</v>
      </c>
      <c r="P52" s="73">
        <f t="shared" si="38"/>
        <v>8770.7999999999993</v>
      </c>
      <c r="Q52" s="73">
        <f t="shared" si="39"/>
        <v>8770.8000000000029</v>
      </c>
    </row>
    <row r="53" spans="1:17" s="13" customFormat="1" ht="66" x14ac:dyDescent="0.25">
      <c r="A53" s="24"/>
      <c r="B53" s="24"/>
      <c r="C53" s="24"/>
      <c r="D53" s="24"/>
      <c r="E53" s="44" t="s">
        <v>39</v>
      </c>
      <c r="F53" s="88">
        <v>8770.7999999999993</v>
      </c>
      <c r="G53" s="88">
        <v>8770.7999999999993</v>
      </c>
      <c r="H53" s="88">
        <v>8770.7999999999993</v>
      </c>
      <c r="I53" s="124">
        <v>8770.8000000000029</v>
      </c>
      <c r="J53" s="48"/>
      <c r="K53" s="48"/>
      <c r="L53" s="48"/>
      <c r="M53" s="48"/>
      <c r="N53" s="73">
        <f t="shared" si="36"/>
        <v>8770.7999999999993</v>
      </c>
      <c r="O53" s="73">
        <f t="shared" si="37"/>
        <v>8770.7999999999993</v>
      </c>
      <c r="P53" s="73">
        <f t="shared" si="38"/>
        <v>8770.7999999999993</v>
      </c>
      <c r="Q53" s="73">
        <f t="shared" si="39"/>
        <v>8770.8000000000029</v>
      </c>
    </row>
    <row r="54" spans="1:17" s="13" customFormat="1" ht="82.5" x14ac:dyDescent="0.25">
      <c r="A54" s="7"/>
      <c r="B54" s="7"/>
      <c r="C54" s="7"/>
      <c r="D54" s="7"/>
      <c r="E54" s="27" t="s">
        <v>78</v>
      </c>
      <c r="F54" s="87">
        <v>3000</v>
      </c>
      <c r="G54" s="87">
        <v>5700</v>
      </c>
      <c r="H54" s="87">
        <v>9200</v>
      </c>
      <c r="I54" s="43">
        <v>12630</v>
      </c>
      <c r="J54" s="43">
        <v>0</v>
      </c>
      <c r="K54" s="43">
        <v>0</v>
      </c>
      <c r="L54" s="43">
        <v>0</v>
      </c>
      <c r="M54" s="43">
        <v>0</v>
      </c>
      <c r="N54" s="73">
        <f t="shared" si="36"/>
        <v>3000</v>
      </c>
      <c r="O54" s="73">
        <f t="shared" si="37"/>
        <v>5700</v>
      </c>
      <c r="P54" s="73">
        <f t="shared" si="38"/>
        <v>9200</v>
      </c>
      <c r="Q54" s="73">
        <f t="shared" si="39"/>
        <v>12630</v>
      </c>
    </row>
    <row r="55" spans="1:17" s="13" customFormat="1" ht="99" x14ac:dyDescent="0.25">
      <c r="A55" s="7"/>
      <c r="B55" s="7"/>
      <c r="C55" s="7"/>
      <c r="D55" s="7"/>
      <c r="E55" s="27" t="s">
        <v>79</v>
      </c>
      <c r="F55" s="87">
        <v>17400</v>
      </c>
      <c r="G55" s="87">
        <v>35800</v>
      </c>
      <c r="H55" s="87">
        <v>57700</v>
      </c>
      <c r="I55" s="84">
        <v>79500</v>
      </c>
      <c r="J55" s="43">
        <f t="shared" ref="J55:L55" si="45">1200-1600</f>
        <v>-400</v>
      </c>
      <c r="K55" s="43">
        <f t="shared" si="45"/>
        <v>-400</v>
      </c>
      <c r="L55" s="43">
        <f t="shared" si="45"/>
        <v>-400</v>
      </c>
      <c r="M55" s="43">
        <f>1200-1600</f>
        <v>-400</v>
      </c>
      <c r="N55" s="73">
        <f t="shared" si="36"/>
        <v>17800</v>
      </c>
      <c r="O55" s="73">
        <f t="shared" si="37"/>
        <v>36200</v>
      </c>
      <c r="P55" s="73">
        <f t="shared" si="38"/>
        <v>58100</v>
      </c>
      <c r="Q55" s="73">
        <f t="shared" si="39"/>
        <v>79900</v>
      </c>
    </row>
    <row r="56" spans="1:17" s="13" customFormat="1" ht="82.5" x14ac:dyDescent="0.25">
      <c r="A56" s="7"/>
      <c r="B56" s="7"/>
      <c r="C56" s="7"/>
      <c r="D56" s="7"/>
      <c r="E56" s="27" t="s">
        <v>40</v>
      </c>
      <c r="F56" s="87">
        <v>6510</v>
      </c>
      <c r="G56" s="87">
        <v>13510</v>
      </c>
      <c r="H56" s="87">
        <v>21710</v>
      </c>
      <c r="I56" s="43">
        <v>29880</v>
      </c>
      <c r="J56" s="43">
        <f t="shared" ref="J56:L56" si="46">510-600</f>
        <v>-90</v>
      </c>
      <c r="K56" s="43">
        <f t="shared" si="46"/>
        <v>-90</v>
      </c>
      <c r="L56" s="43">
        <f t="shared" si="46"/>
        <v>-90</v>
      </c>
      <c r="M56" s="43">
        <f>510-600</f>
        <v>-90</v>
      </c>
      <c r="N56" s="73">
        <f t="shared" si="36"/>
        <v>6600</v>
      </c>
      <c r="O56" s="73">
        <f t="shared" si="37"/>
        <v>13600</v>
      </c>
      <c r="P56" s="73">
        <f t="shared" si="38"/>
        <v>21800</v>
      </c>
      <c r="Q56" s="73">
        <f t="shared" si="39"/>
        <v>29970</v>
      </c>
    </row>
    <row r="57" spans="1:17" s="13" customFormat="1" ht="82.5" x14ac:dyDescent="0.25">
      <c r="A57" s="7"/>
      <c r="B57" s="7"/>
      <c r="C57" s="7"/>
      <c r="D57" s="7"/>
      <c r="E57" s="27" t="s">
        <v>41</v>
      </c>
      <c r="F57" s="87">
        <v>2200</v>
      </c>
      <c r="G57" s="87">
        <v>4500</v>
      </c>
      <c r="H57" s="87">
        <v>7300</v>
      </c>
      <c r="I57" s="43">
        <v>9300</v>
      </c>
      <c r="J57" s="43">
        <v>0</v>
      </c>
      <c r="K57" s="43">
        <v>0</v>
      </c>
      <c r="L57" s="43">
        <v>0</v>
      </c>
      <c r="M57" s="43">
        <v>0</v>
      </c>
      <c r="N57" s="73">
        <f t="shared" si="36"/>
        <v>2200</v>
      </c>
      <c r="O57" s="73">
        <f t="shared" si="37"/>
        <v>4500</v>
      </c>
      <c r="P57" s="73">
        <f t="shared" si="38"/>
        <v>7300</v>
      </c>
      <c r="Q57" s="73">
        <f t="shared" si="39"/>
        <v>9300</v>
      </c>
    </row>
    <row r="58" spans="1:17" s="13" customFormat="1" ht="33" x14ac:dyDescent="0.25">
      <c r="A58" s="7"/>
      <c r="B58" s="7"/>
      <c r="C58" s="7"/>
      <c r="D58" s="7"/>
      <c r="E58" s="27" t="s">
        <v>42</v>
      </c>
      <c r="F58" s="87">
        <v>22780</v>
      </c>
      <c r="G58" s="87">
        <v>46680</v>
      </c>
      <c r="H58" s="87">
        <v>54880</v>
      </c>
      <c r="I58" s="43">
        <v>104840</v>
      </c>
      <c r="J58" s="43">
        <f t="shared" ref="J58:L58" si="47">1980-2100</f>
        <v>-120</v>
      </c>
      <c r="K58" s="43">
        <f t="shared" si="47"/>
        <v>-120</v>
      </c>
      <c r="L58" s="43">
        <f t="shared" si="47"/>
        <v>-120</v>
      </c>
      <c r="M58" s="43">
        <f>1980-2100</f>
        <v>-120</v>
      </c>
      <c r="N58" s="73">
        <f t="shared" si="36"/>
        <v>22900</v>
      </c>
      <c r="O58" s="73">
        <f t="shared" si="37"/>
        <v>46800</v>
      </c>
      <c r="P58" s="73">
        <f t="shared" si="38"/>
        <v>55000</v>
      </c>
      <c r="Q58" s="73">
        <f t="shared" si="39"/>
        <v>104960</v>
      </c>
    </row>
    <row r="59" spans="1:17" s="13" customFormat="1" ht="66" x14ac:dyDescent="0.25">
      <c r="A59" s="7"/>
      <c r="B59" s="7"/>
      <c r="C59" s="7"/>
      <c r="D59" s="7"/>
      <c r="E59" s="27" t="s">
        <v>43</v>
      </c>
      <c r="F59" s="87">
        <v>41290</v>
      </c>
      <c r="G59" s="87">
        <v>57290</v>
      </c>
      <c r="H59" s="87">
        <v>117290</v>
      </c>
      <c r="I59" s="43">
        <v>198030</v>
      </c>
      <c r="J59" s="43">
        <f t="shared" ref="J59:L59" si="48">990-3700</f>
        <v>-2710</v>
      </c>
      <c r="K59" s="43">
        <f t="shared" si="48"/>
        <v>-2710</v>
      </c>
      <c r="L59" s="43">
        <f t="shared" si="48"/>
        <v>-2710</v>
      </c>
      <c r="M59" s="43">
        <f>990-3700</f>
        <v>-2710</v>
      </c>
      <c r="N59" s="73">
        <f t="shared" si="36"/>
        <v>44000</v>
      </c>
      <c r="O59" s="73">
        <f t="shared" si="37"/>
        <v>60000</v>
      </c>
      <c r="P59" s="73">
        <f t="shared" si="38"/>
        <v>120000</v>
      </c>
      <c r="Q59" s="73">
        <f t="shared" si="39"/>
        <v>200740</v>
      </c>
    </row>
    <row r="60" spans="1:17" s="13" customFormat="1" ht="66" x14ac:dyDescent="0.25">
      <c r="A60" s="7"/>
      <c r="B60" s="7"/>
      <c r="C60" s="7"/>
      <c r="D60" s="7"/>
      <c r="E60" s="27" t="s">
        <v>44</v>
      </c>
      <c r="F60" s="87">
        <v>34080</v>
      </c>
      <c r="G60" s="87">
        <v>57180</v>
      </c>
      <c r="H60" s="87">
        <v>97180</v>
      </c>
      <c r="I60" s="43">
        <v>175090</v>
      </c>
      <c r="J60" s="43">
        <f t="shared" ref="J60:L60" si="49">1100-3920</f>
        <v>-2820</v>
      </c>
      <c r="K60" s="43">
        <f t="shared" si="49"/>
        <v>-2820</v>
      </c>
      <c r="L60" s="43">
        <f t="shared" si="49"/>
        <v>-2820</v>
      </c>
      <c r="M60" s="43">
        <f>1100-3920</f>
        <v>-2820</v>
      </c>
      <c r="N60" s="73">
        <f t="shared" si="36"/>
        <v>36900</v>
      </c>
      <c r="O60" s="73">
        <f t="shared" si="37"/>
        <v>60000</v>
      </c>
      <c r="P60" s="73">
        <f t="shared" si="38"/>
        <v>100000</v>
      </c>
      <c r="Q60" s="73">
        <f t="shared" si="39"/>
        <v>177910</v>
      </c>
    </row>
    <row r="61" spans="1:17" s="13" customFormat="1" ht="66" x14ac:dyDescent="0.25">
      <c r="A61" s="7"/>
      <c r="B61" s="7"/>
      <c r="C61" s="7"/>
      <c r="D61" s="7"/>
      <c r="E61" s="27" t="s">
        <v>45</v>
      </c>
      <c r="F61" s="87">
        <v>61910</v>
      </c>
      <c r="G61" s="87">
        <v>80740</v>
      </c>
      <c r="H61" s="87">
        <v>195740</v>
      </c>
      <c r="I61" s="43">
        <v>293110</v>
      </c>
      <c r="J61" s="43">
        <f t="shared" ref="J61:L61" si="50">1700-5960</f>
        <v>-4260</v>
      </c>
      <c r="K61" s="43">
        <f t="shared" si="50"/>
        <v>-4260</v>
      </c>
      <c r="L61" s="43">
        <f t="shared" si="50"/>
        <v>-4260</v>
      </c>
      <c r="M61" s="43">
        <f>1700-5960</f>
        <v>-4260</v>
      </c>
      <c r="N61" s="73">
        <f t="shared" si="36"/>
        <v>66170</v>
      </c>
      <c r="O61" s="73">
        <f t="shared" si="37"/>
        <v>85000</v>
      </c>
      <c r="P61" s="73">
        <f t="shared" si="38"/>
        <v>200000</v>
      </c>
      <c r="Q61" s="73">
        <f t="shared" si="39"/>
        <v>297370</v>
      </c>
    </row>
    <row r="62" spans="1:17" s="13" customFormat="1" ht="82.5" x14ac:dyDescent="0.25">
      <c r="A62" s="7"/>
      <c r="B62" s="7"/>
      <c r="C62" s="7"/>
      <c r="D62" s="7"/>
      <c r="E62" s="27" t="s">
        <v>46</v>
      </c>
      <c r="F62" s="87">
        <v>7750</v>
      </c>
      <c r="G62" s="87">
        <v>15950</v>
      </c>
      <c r="H62" s="87">
        <v>25450</v>
      </c>
      <c r="I62" s="43">
        <v>35050</v>
      </c>
      <c r="J62" s="43">
        <f t="shared" ref="J62:L62" si="51">570-620</f>
        <v>-50</v>
      </c>
      <c r="K62" s="43">
        <f t="shared" si="51"/>
        <v>-50</v>
      </c>
      <c r="L62" s="43">
        <f t="shared" si="51"/>
        <v>-50</v>
      </c>
      <c r="M62" s="43">
        <f>570-620</f>
        <v>-50</v>
      </c>
      <c r="N62" s="73">
        <f t="shared" si="36"/>
        <v>7800</v>
      </c>
      <c r="O62" s="73">
        <f t="shared" si="37"/>
        <v>16000</v>
      </c>
      <c r="P62" s="73">
        <f t="shared" si="38"/>
        <v>25500</v>
      </c>
      <c r="Q62" s="73">
        <f t="shared" si="39"/>
        <v>35100</v>
      </c>
    </row>
    <row r="63" spans="1:17" s="13" customFormat="1" ht="49.5" x14ac:dyDescent="0.25">
      <c r="A63" s="7"/>
      <c r="B63" s="7"/>
      <c r="C63" s="7"/>
      <c r="D63" s="7"/>
      <c r="E63" s="27" t="s">
        <v>47</v>
      </c>
      <c r="F63" s="87">
        <v>48040</v>
      </c>
      <c r="G63" s="87">
        <v>54540</v>
      </c>
      <c r="H63" s="87">
        <v>64540</v>
      </c>
      <c r="I63" s="43">
        <v>224730</v>
      </c>
      <c r="J63" s="43">
        <f t="shared" ref="J63:L63" si="52">4140-4600</f>
        <v>-460</v>
      </c>
      <c r="K63" s="43">
        <f t="shared" si="52"/>
        <v>-460</v>
      </c>
      <c r="L63" s="43">
        <f t="shared" si="52"/>
        <v>-460</v>
      </c>
      <c r="M63" s="43">
        <f>4140-4600</f>
        <v>-460</v>
      </c>
      <c r="N63" s="73">
        <f t="shared" si="36"/>
        <v>48500</v>
      </c>
      <c r="O63" s="73">
        <f t="shared" si="37"/>
        <v>55000</v>
      </c>
      <c r="P63" s="73">
        <f t="shared" si="38"/>
        <v>65000</v>
      </c>
      <c r="Q63" s="73">
        <f t="shared" si="39"/>
        <v>225190</v>
      </c>
    </row>
    <row r="64" spans="1:17" s="13" customFormat="1" ht="99" x14ac:dyDescent="0.25">
      <c r="A64" s="7"/>
      <c r="B64" s="7"/>
      <c r="C64" s="7"/>
      <c r="D64" s="7"/>
      <c r="E64" s="27" t="s">
        <v>119</v>
      </c>
      <c r="F64" s="87">
        <v>20900</v>
      </c>
      <c r="G64" s="87">
        <v>30900</v>
      </c>
      <c r="H64" s="87">
        <v>66300</v>
      </c>
      <c r="I64" s="43">
        <v>90900</v>
      </c>
      <c r="J64" s="43">
        <v>900</v>
      </c>
      <c r="K64" s="43">
        <v>900</v>
      </c>
      <c r="L64" s="43">
        <v>900</v>
      </c>
      <c r="M64" s="43">
        <v>900</v>
      </c>
      <c r="N64" s="73">
        <f t="shared" si="36"/>
        <v>20000</v>
      </c>
      <c r="O64" s="73">
        <f t="shared" si="37"/>
        <v>30000</v>
      </c>
      <c r="P64" s="73">
        <f t="shared" si="38"/>
        <v>65400</v>
      </c>
      <c r="Q64" s="73">
        <f t="shared" si="39"/>
        <v>90000</v>
      </c>
    </row>
    <row r="65" spans="1:17" s="13" customFormat="1" ht="66" x14ac:dyDescent="0.25">
      <c r="A65" s="7"/>
      <c r="B65" s="7"/>
      <c r="C65" s="7"/>
      <c r="D65" s="7"/>
      <c r="E65" s="27" t="s">
        <v>120</v>
      </c>
      <c r="F65" s="91">
        <v>48800</v>
      </c>
      <c r="G65" s="91">
        <v>60000</v>
      </c>
      <c r="H65" s="91">
        <v>85000</v>
      </c>
      <c r="I65" s="43">
        <v>218800</v>
      </c>
      <c r="J65" s="43">
        <v>0</v>
      </c>
      <c r="K65" s="43">
        <v>0</v>
      </c>
      <c r="L65" s="43">
        <v>0</v>
      </c>
      <c r="M65" s="43">
        <v>0</v>
      </c>
      <c r="N65" s="73">
        <f t="shared" si="36"/>
        <v>48800</v>
      </c>
      <c r="O65" s="73">
        <f t="shared" si="37"/>
        <v>60000</v>
      </c>
      <c r="P65" s="73">
        <f t="shared" si="38"/>
        <v>85000</v>
      </c>
      <c r="Q65" s="73">
        <f t="shared" si="39"/>
        <v>218800</v>
      </c>
    </row>
    <row r="66" spans="1:17" s="13" customFormat="1" ht="49.5" x14ac:dyDescent="0.25">
      <c r="A66" s="7"/>
      <c r="B66" s="7"/>
      <c r="C66" s="7"/>
      <c r="D66" s="7"/>
      <c r="E66" s="27" t="s">
        <v>121</v>
      </c>
      <c r="F66" s="91">
        <v>34330</v>
      </c>
      <c r="G66" s="91">
        <v>45830</v>
      </c>
      <c r="H66" s="91">
        <f>109830-30000</f>
        <v>79830</v>
      </c>
      <c r="I66" s="43">
        <f>151563-30000</f>
        <v>121563</v>
      </c>
      <c r="J66" s="43">
        <v>830</v>
      </c>
      <c r="K66" s="43">
        <v>830</v>
      </c>
      <c r="L66" s="43">
        <v>830</v>
      </c>
      <c r="M66" s="43">
        <v>830</v>
      </c>
      <c r="N66" s="73">
        <f t="shared" si="36"/>
        <v>33500</v>
      </c>
      <c r="O66" s="73">
        <f t="shared" si="37"/>
        <v>45000</v>
      </c>
      <c r="P66" s="73">
        <f t="shared" si="38"/>
        <v>79000</v>
      </c>
      <c r="Q66" s="73">
        <f t="shared" si="39"/>
        <v>120733</v>
      </c>
    </row>
    <row r="67" spans="1:17" s="13" customFormat="1" ht="66" x14ac:dyDescent="0.25">
      <c r="A67" s="266"/>
      <c r="B67" s="266"/>
      <c r="C67" s="266"/>
      <c r="D67" s="266"/>
      <c r="E67" s="268" t="s">
        <v>124</v>
      </c>
      <c r="F67" s="267">
        <f>SUM(F68+F86+F93)</f>
        <v>0</v>
      </c>
      <c r="G67" s="267">
        <f t="shared" ref="G67:I67" si="53">SUM(G68+G86+G93)</f>
        <v>0</v>
      </c>
      <c r="H67" s="267">
        <f t="shared" si="53"/>
        <v>58957</v>
      </c>
      <c r="I67" s="267">
        <f t="shared" si="53"/>
        <v>58957</v>
      </c>
    </row>
    <row r="68" spans="1:17" s="13" customFormat="1" ht="66" x14ac:dyDescent="0.25">
      <c r="A68" s="7"/>
      <c r="B68" s="7"/>
      <c r="C68" s="7"/>
      <c r="D68" s="7"/>
      <c r="E68" s="38" t="s">
        <v>108</v>
      </c>
      <c r="F68" s="87">
        <f>SUM(F69+F77+F80+F82+F84)</f>
        <v>0</v>
      </c>
      <c r="G68" s="87">
        <f>SUM(G69+G77+G80+G82+G84)</f>
        <v>0</v>
      </c>
      <c r="H68" s="87">
        <f>SUM(H69+H77+H80+H82+H84)</f>
        <v>38957</v>
      </c>
      <c r="I68" s="87">
        <f t="shared" ref="I68" si="54">SUM(I69+I77+I80+I82+I84)</f>
        <v>38957</v>
      </c>
    </row>
    <row r="69" spans="1:17" s="13" customFormat="1" ht="49.5" x14ac:dyDescent="0.25">
      <c r="A69" s="7"/>
      <c r="B69" s="7"/>
      <c r="C69" s="7"/>
      <c r="D69" s="7"/>
      <c r="E69" s="34" t="s">
        <v>18</v>
      </c>
      <c r="F69" s="87">
        <f>SUM(F70:F76)</f>
        <v>0</v>
      </c>
      <c r="G69" s="87">
        <f t="shared" ref="G69:I69" si="55">SUM(G70:G76)</f>
        <v>0</v>
      </c>
      <c r="H69" s="87">
        <f t="shared" si="55"/>
        <v>11607</v>
      </c>
      <c r="I69" s="87">
        <f t="shared" si="55"/>
        <v>11607</v>
      </c>
    </row>
    <row r="70" spans="1:17" s="13" customFormat="1" ht="49.5" x14ac:dyDescent="0.25">
      <c r="A70" s="7"/>
      <c r="B70" s="7"/>
      <c r="C70" s="7"/>
      <c r="D70" s="7"/>
      <c r="E70" s="35" t="s">
        <v>19</v>
      </c>
      <c r="F70" s="88">
        <v>0</v>
      </c>
      <c r="G70" s="88">
        <v>0</v>
      </c>
      <c r="H70" s="87">
        <v>1667</v>
      </c>
      <c r="I70" s="87">
        <v>1667</v>
      </c>
    </row>
    <row r="71" spans="1:17" s="13" customFormat="1" ht="66" x14ac:dyDescent="0.25">
      <c r="A71" s="7"/>
      <c r="B71" s="7"/>
      <c r="C71" s="7"/>
      <c r="D71" s="7"/>
      <c r="E71" s="35" t="s">
        <v>20</v>
      </c>
      <c r="F71" s="88">
        <v>0</v>
      </c>
      <c r="G71" s="88">
        <v>0</v>
      </c>
      <c r="H71" s="87">
        <v>70</v>
      </c>
      <c r="I71" s="87">
        <v>70</v>
      </c>
    </row>
    <row r="72" spans="1:17" s="16" customFormat="1" ht="33" x14ac:dyDescent="0.25">
      <c r="A72" s="7"/>
      <c r="B72" s="7"/>
      <c r="C72" s="7"/>
      <c r="D72" s="7"/>
      <c r="E72" s="36" t="s">
        <v>21</v>
      </c>
      <c r="F72" s="88">
        <v>0</v>
      </c>
      <c r="G72" s="88">
        <v>0</v>
      </c>
      <c r="H72" s="87">
        <v>4500</v>
      </c>
      <c r="I72" s="87">
        <v>4500</v>
      </c>
    </row>
    <row r="73" spans="1:17" s="13" customFormat="1" ht="33" x14ac:dyDescent="0.25">
      <c r="A73" s="7"/>
      <c r="B73" s="7"/>
      <c r="C73" s="7"/>
      <c r="D73" s="7"/>
      <c r="E73" s="35" t="s">
        <v>22</v>
      </c>
      <c r="F73" s="88">
        <v>0</v>
      </c>
      <c r="G73" s="88">
        <v>0</v>
      </c>
      <c r="H73" s="87">
        <v>2640</v>
      </c>
      <c r="I73" s="87">
        <v>2640</v>
      </c>
    </row>
    <row r="74" spans="1:17" s="13" customFormat="1" ht="66" x14ac:dyDescent="0.25">
      <c r="A74" s="7"/>
      <c r="B74" s="7"/>
      <c r="C74" s="7"/>
      <c r="D74" s="7"/>
      <c r="E74" s="36" t="s">
        <v>109</v>
      </c>
      <c r="F74" s="88">
        <v>0</v>
      </c>
      <c r="G74" s="88">
        <v>0</v>
      </c>
      <c r="H74" s="87">
        <v>1330</v>
      </c>
      <c r="I74" s="87">
        <v>1330</v>
      </c>
    </row>
    <row r="75" spans="1:17" s="13" customFormat="1" ht="49.5" x14ac:dyDescent="0.25">
      <c r="A75" s="7"/>
      <c r="B75" s="7"/>
      <c r="C75" s="7"/>
      <c r="D75" s="7"/>
      <c r="E75" s="35" t="s">
        <v>23</v>
      </c>
      <c r="F75" s="88">
        <v>0</v>
      </c>
      <c r="G75" s="88">
        <v>0</v>
      </c>
      <c r="H75" s="87">
        <v>750</v>
      </c>
      <c r="I75" s="87">
        <v>750</v>
      </c>
    </row>
    <row r="76" spans="1:17" s="13" customFormat="1" ht="49.5" x14ac:dyDescent="0.25">
      <c r="A76" s="7"/>
      <c r="B76" s="7"/>
      <c r="C76" s="7"/>
      <c r="D76" s="7"/>
      <c r="E76" s="35" t="s">
        <v>24</v>
      </c>
      <c r="F76" s="88">
        <v>0</v>
      </c>
      <c r="G76" s="88">
        <v>0</v>
      </c>
      <c r="H76" s="255">
        <v>650</v>
      </c>
      <c r="I76" s="255">
        <v>650</v>
      </c>
    </row>
    <row r="77" spans="1:17" s="6" customFormat="1" ht="33" x14ac:dyDescent="0.25">
      <c r="A77" s="7"/>
      <c r="B77" s="7"/>
      <c r="C77" s="7"/>
      <c r="D77" s="7"/>
      <c r="E77" s="37" t="s">
        <v>25</v>
      </c>
      <c r="F77" s="87">
        <f>SUM(F78:F79)</f>
        <v>0</v>
      </c>
      <c r="G77" s="87">
        <f t="shared" ref="G77:I77" si="56">SUM(G78:G79)</f>
        <v>0</v>
      </c>
      <c r="H77" s="87">
        <f t="shared" si="56"/>
        <v>12050</v>
      </c>
      <c r="I77" s="87">
        <f t="shared" si="56"/>
        <v>12050</v>
      </c>
    </row>
    <row r="78" spans="1:17" s="6" customFormat="1" ht="49.5" x14ac:dyDescent="0.25">
      <c r="A78" s="7"/>
      <c r="B78" s="7"/>
      <c r="C78" s="7"/>
      <c r="D78" s="7"/>
      <c r="E78" s="35" t="s">
        <v>110</v>
      </c>
      <c r="F78" s="88">
        <v>0</v>
      </c>
      <c r="G78" s="88">
        <v>0</v>
      </c>
      <c r="H78" s="88">
        <v>8570</v>
      </c>
      <c r="I78" s="88">
        <v>8570</v>
      </c>
    </row>
    <row r="79" spans="1:17" s="6" customFormat="1" ht="82.5" x14ac:dyDescent="0.25">
      <c r="A79" s="7"/>
      <c r="B79" s="7"/>
      <c r="C79" s="7"/>
      <c r="D79" s="7"/>
      <c r="E79" s="35" t="s">
        <v>111</v>
      </c>
      <c r="F79" s="88">
        <v>0</v>
      </c>
      <c r="G79" s="88">
        <v>0</v>
      </c>
      <c r="H79" s="88">
        <v>3480</v>
      </c>
      <c r="I79" s="88">
        <v>3480</v>
      </c>
    </row>
    <row r="80" spans="1:17" s="6" customFormat="1" ht="49.5" x14ac:dyDescent="0.25">
      <c r="A80" s="7"/>
      <c r="B80" s="7"/>
      <c r="C80" s="7"/>
      <c r="D80" s="7"/>
      <c r="E80" s="34" t="s">
        <v>28</v>
      </c>
      <c r="F80" s="87">
        <f>SUM(F81)</f>
        <v>0</v>
      </c>
      <c r="G80" s="87">
        <f t="shared" ref="G80:I80" si="57">SUM(G81)</f>
        <v>0</v>
      </c>
      <c r="H80" s="87">
        <f t="shared" si="57"/>
        <v>20</v>
      </c>
      <c r="I80" s="87">
        <f t="shared" si="57"/>
        <v>20</v>
      </c>
    </row>
    <row r="81" spans="1:9" s="6" customFormat="1" ht="33" x14ac:dyDescent="0.25">
      <c r="A81" s="7"/>
      <c r="B81" s="7"/>
      <c r="C81" s="7"/>
      <c r="D81" s="7"/>
      <c r="E81" s="35" t="s">
        <v>29</v>
      </c>
      <c r="F81" s="88">
        <v>0</v>
      </c>
      <c r="G81" s="88">
        <v>0</v>
      </c>
      <c r="H81" s="88">
        <v>20</v>
      </c>
      <c r="I81" s="88">
        <v>20</v>
      </c>
    </row>
    <row r="82" spans="1:9" s="6" customFormat="1" ht="33" x14ac:dyDescent="0.25">
      <c r="A82" s="7"/>
      <c r="B82" s="7"/>
      <c r="C82" s="7"/>
      <c r="D82" s="7"/>
      <c r="E82" s="34" t="s">
        <v>30</v>
      </c>
      <c r="F82" s="87">
        <f>SUM(F83)</f>
        <v>0</v>
      </c>
      <c r="G82" s="87">
        <f t="shared" ref="G82:I82" si="58">SUM(G83)</f>
        <v>0</v>
      </c>
      <c r="H82" s="87">
        <f t="shared" si="58"/>
        <v>280</v>
      </c>
      <c r="I82" s="87">
        <f t="shared" si="58"/>
        <v>280</v>
      </c>
    </row>
    <row r="83" spans="1:9" s="13" customFormat="1" ht="49.5" x14ac:dyDescent="0.25">
      <c r="A83" s="7"/>
      <c r="B83" s="7"/>
      <c r="C83" s="7"/>
      <c r="D83" s="7"/>
      <c r="E83" s="35" t="s">
        <v>112</v>
      </c>
      <c r="F83" s="255">
        <v>0</v>
      </c>
      <c r="G83" s="255">
        <v>0</v>
      </c>
      <c r="H83" s="255">
        <v>280</v>
      </c>
      <c r="I83" s="255">
        <v>280</v>
      </c>
    </row>
    <row r="84" spans="1:9" s="6" customFormat="1" ht="33" x14ac:dyDescent="0.25">
      <c r="A84" s="7"/>
      <c r="B84" s="7"/>
      <c r="C84" s="7"/>
      <c r="D84" s="7"/>
      <c r="E84" s="37" t="s">
        <v>113</v>
      </c>
      <c r="F84" s="87">
        <f>SUM(F85)</f>
        <v>0</v>
      </c>
      <c r="G84" s="87">
        <f t="shared" ref="G84:I84" si="59">SUM(G85)</f>
        <v>0</v>
      </c>
      <c r="H84" s="87">
        <f t="shared" si="59"/>
        <v>15000</v>
      </c>
      <c r="I84" s="87">
        <f t="shared" si="59"/>
        <v>15000</v>
      </c>
    </row>
    <row r="85" spans="1:9" s="13" customFormat="1" ht="49.5" x14ac:dyDescent="0.25">
      <c r="A85" s="7"/>
      <c r="B85" s="7"/>
      <c r="C85" s="7"/>
      <c r="D85" s="7"/>
      <c r="E85" s="36" t="s">
        <v>31</v>
      </c>
      <c r="F85" s="255">
        <v>0</v>
      </c>
      <c r="G85" s="255">
        <v>0</v>
      </c>
      <c r="H85" s="255">
        <v>15000</v>
      </c>
      <c r="I85" s="255">
        <v>15000</v>
      </c>
    </row>
    <row r="86" spans="1:9" s="6" customFormat="1" ht="66" x14ac:dyDescent="0.25">
      <c r="A86" s="7"/>
      <c r="B86" s="7"/>
      <c r="C86" s="7"/>
      <c r="D86" s="7"/>
      <c r="E86" s="38" t="s">
        <v>115</v>
      </c>
      <c r="F86" s="87">
        <f>SUM(F87+F89+F91)</f>
        <v>0</v>
      </c>
      <c r="G86" s="87">
        <f t="shared" ref="G86:I86" si="60">SUM(G87+G89+G91)</f>
        <v>0</v>
      </c>
      <c r="H86" s="87">
        <f t="shared" si="60"/>
        <v>2560</v>
      </c>
      <c r="I86" s="87">
        <f t="shared" si="60"/>
        <v>2560</v>
      </c>
    </row>
    <row r="87" spans="1:9" s="13" customFormat="1" ht="49.5" x14ac:dyDescent="0.25">
      <c r="A87" s="7"/>
      <c r="B87" s="7"/>
      <c r="C87" s="7"/>
      <c r="D87" s="7"/>
      <c r="E87" s="34" t="s">
        <v>32</v>
      </c>
      <c r="F87" s="255">
        <f>SUM(F88)</f>
        <v>0</v>
      </c>
      <c r="G87" s="255">
        <f t="shared" ref="G87:I87" si="61">SUM(G88)</f>
        <v>0</v>
      </c>
      <c r="H87" s="255">
        <f t="shared" si="61"/>
        <v>160</v>
      </c>
      <c r="I87" s="255">
        <f t="shared" si="61"/>
        <v>160</v>
      </c>
    </row>
    <row r="88" spans="1:9" s="6" customFormat="1" ht="33" x14ac:dyDescent="0.25">
      <c r="A88" s="7"/>
      <c r="B88" s="7"/>
      <c r="C88" s="7"/>
      <c r="D88" s="7"/>
      <c r="E88" s="35" t="s">
        <v>33</v>
      </c>
      <c r="F88" s="88">
        <v>0</v>
      </c>
      <c r="G88" s="88">
        <v>0</v>
      </c>
      <c r="H88" s="88">
        <v>160</v>
      </c>
      <c r="I88" s="88">
        <v>160</v>
      </c>
    </row>
    <row r="89" spans="1:9" s="13" customFormat="1" ht="33" x14ac:dyDescent="0.25">
      <c r="A89" s="7"/>
      <c r="B89" s="7"/>
      <c r="C89" s="7"/>
      <c r="D89" s="7"/>
      <c r="E89" s="34" t="s">
        <v>34</v>
      </c>
      <c r="F89" s="255">
        <f>SUM(F90)</f>
        <v>0</v>
      </c>
      <c r="G89" s="255">
        <f t="shared" ref="G89:I89" si="62">SUM(G90)</f>
        <v>0</v>
      </c>
      <c r="H89" s="255">
        <f t="shared" si="62"/>
        <v>2090</v>
      </c>
      <c r="I89" s="255">
        <f t="shared" si="62"/>
        <v>2090</v>
      </c>
    </row>
    <row r="90" spans="1:9" s="6" customFormat="1" ht="49.5" x14ac:dyDescent="0.25">
      <c r="A90" s="7"/>
      <c r="B90" s="7"/>
      <c r="C90" s="7"/>
      <c r="D90" s="7"/>
      <c r="E90" s="35" t="s">
        <v>35</v>
      </c>
      <c r="F90" s="88">
        <v>0</v>
      </c>
      <c r="G90" s="88">
        <v>0</v>
      </c>
      <c r="H90" s="88">
        <v>2090</v>
      </c>
      <c r="I90" s="88">
        <v>2090</v>
      </c>
    </row>
    <row r="91" spans="1:9" s="13" customFormat="1" ht="66" x14ac:dyDescent="0.25">
      <c r="A91" s="7"/>
      <c r="B91" s="7"/>
      <c r="C91" s="7"/>
      <c r="D91" s="7"/>
      <c r="E91" s="34" t="s">
        <v>36</v>
      </c>
      <c r="F91" s="255">
        <f>SUM(F92)</f>
        <v>0</v>
      </c>
      <c r="G91" s="255">
        <f t="shared" ref="G91:I91" si="63">SUM(G92)</f>
        <v>0</v>
      </c>
      <c r="H91" s="255">
        <f t="shared" si="63"/>
        <v>310</v>
      </c>
      <c r="I91" s="255">
        <f t="shared" si="63"/>
        <v>310</v>
      </c>
    </row>
    <row r="92" spans="1:9" s="6" customFormat="1" ht="33" x14ac:dyDescent="0.25">
      <c r="A92" s="7"/>
      <c r="B92" s="7"/>
      <c r="C92" s="7"/>
      <c r="D92" s="7"/>
      <c r="E92" s="35" t="s">
        <v>37</v>
      </c>
      <c r="F92" s="88">
        <v>0</v>
      </c>
      <c r="G92" s="88">
        <v>0</v>
      </c>
      <c r="H92" s="88">
        <v>310</v>
      </c>
      <c r="I92" s="88">
        <v>310</v>
      </c>
    </row>
    <row r="93" spans="1:9" s="16" customFormat="1" ht="66" x14ac:dyDescent="0.25">
      <c r="A93" s="7"/>
      <c r="B93" s="7"/>
      <c r="C93" s="7"/>
      <c r="D93" s="7"/>
      <c r="E93" s="38" t="s">
        <v>116</v>
      </c>
      <c r="F93" s="87">
        <f>SUM(F94+F96+F97+F98+F99+F100+F101+F102+F103+F104+F105+F106+F107+F108)</f>
        <v>0</v>
      </c>
      <c r="G93" s="87">
        <f t="shared" ref="G93:I93" si="64">SUM(G94+G96+G97+G98+G99+G100+G101+G102+G103+G104+G105+G106+G107+G108)</f>
        <v>0</v>
      </c>
      <c r="H93" s="87">
        <f t="shared" si="64"/>
        <v>17440</v>
      </c>
      <c r="I93" s="87">
        <f t="shared" si="64"/>
        <v>17440</v>
      </c>
    </row>
    <row r="94" spans="1:9" s="13" customFormat="1" ht="33" x14ac:dyDescent="0.25">
      <c r="A94" s="7"/>
      <c r="B94" s="7"/>
      <c r="C94" s="7"/>
      <c r="D94" s="7"/>
      <c r="E94" s="37" t="s">
        <v>38</v>
      </c>
      <c r="F94" s="87">
        <f>SUM(F95)</f>
        <v>0</v>
      </c>
      <c r="G94" s="87">
        <f t="shared" ref="G94:I94" si="65">SUM(G95)</f>
        <v>0</v>
      </c>
      <c r="H94" s="87">
        <f t="shared" si="65"/>
        <v>100</v>
      </c>
      <c r="I94" s="87">
        <f t="shared" si="65"/>
        <v>100</v>
      </c>
    </row>
    <row r="95" spans="1:9" s="13" customFormat="1" ht="66" x14ac:dyDescent="0.25">
      <c r="A95" s="7"/>
      <c r="B95" s="7"/>
      <c r="C95" s="7"/>
      <c r="D95" s="7"/>
      <c r="E95" s="36" t="s">
        <v>39</v>
      </c>
      <c r="F95" s="255">
        <v>0</v>
      </c>
      <c r="G95" s="255">
        <v>0</v>
      </c>
      <c r="H95" s="255">
        <v>100</v>
      </c>
      <c r="I95" s="255">
        <v>100</v>
      </c>
    </row>
    <row r="96" spans="1:9" s="6" customFormat="1" ht="99" x14ac:dyDescent="0.25">
      <c r="A96" s="7"/>
      <c r="B96" s="7"/>
      <c r="C96" s="7"/>
      <c r="D96" s="7"/>
      <c r="E96" s="37" t="s">
        <v>117</v>
      </c>
      <c r="F96" s="87">
        <v>0</v>
      </c>
      <c r="G96" s="87">
        <v>0</v>
      </c>
      <c r="H96" s="87">
        <v>800</v>
      </c>
      <c r="I96" s="88">
        <v>800</v>
      </c>
    </row>
    <row r="97" spans="1:9" s="13" customFormat="1" ht="82.5" x14ac:dyDescent="0.25">
      <c r="A97" s="7"/>
      <c r="B97" s="7"/>
      <c r="C97" s="7"/>
      <c r="D97" s="7"/>
      <c r="E97" s="37" t="s">
        <v>40</v>
      </c>
      <c r="F97" s="87">
        <v>0</v>
      </c>
      <c r="G97" s="87">
        <v>0</v>
      </c>
      <c r="H97" s="255">
        <v>300</v>
      </c>
      <c r="I97" s="255">
        <v>300</v>
      </c>
    </row>
    <row r="98" spans="1:9" s="6" customFormat="1" ht="66" x14ac:dyDescent="0.25">
      <c r="A98" s="7"/>
      <c r="B98" s="7"/>
      <c r="C98" s="7"/>
      <c r="D98" s="7"/>
      <c r="E98" s="37" t="s">
        <v>41</v>
      </c>
      <c r="F98" s="87">
        <v>0</v>
      </c>
      <c r="G98" s="87">
        <v>0</v>
      </c>
      <c r="H98" s="87">
        <v>90</v>
      </c>
      <c r="I98" s="88">
        <v>90</v>
      </c>
    </row>
    <row r="99" spans="1:9" s="13" customFormat="1" ht="33" x14ac:dyDescent="0.25">
      <c r="A99" s="7"/>
      <c r="B99" s="7"/>
      <c r="C99" s="7"/>
      <c r="D99" s="7"/>
      <c r="E99" s="37" t="s">
        <v>42</v>
      </c>
      <c r="F99" s="87">
        <v>0</v>
      </c>
      <c r="G99" s="87">
        <v>0</v>
      </c>
      <c r="H99" s="255">
        <v>1180</v>
      </c>
      <c r="I99" s="255">
        <v>1180</v>
      </c>
    </row>
    <row r="100" spans="1:9" s="6" customFormat="1" ht="66" x14ac:dyDescent="0.25">
      <c r="A100" s="7"/>
      <c r="B100" s="7"/>
      <c r="C100" s="7"/>
      <c r="D100" s="7"/>
      <c r="E100" s="37" t="s">
        <v>43</v>
      </c>
      <c r="F100" s="87">
        <v>0</v>
      </c>
      <c r="G100" s="87">
        <v>0</v>
      </c>
      <c r="H100" s="87">
        <v>2010</v>
      </c>
      <c r="I100" s="88">
        <v>2010</v>
      </c>
    </row>
    <row r="101" spans="1:9" s="13" customFormat="1" ht="66" x14ac:dyDescent="0.25">
      <c r="A101" s="7"/>
      <c r="B101" s="7"/>
      <c r="C101" s="7"/>
      <c r="D101" s="7"/>
      <c r="E101" s="37" t="s">
        <v>44</v>
      </c>
      <c r="F101" s="87">
        <v>0</v>
      </c>
      <c r="G101" s="87">
        <v>0</v>
      </c>
      <c r="H101" s="255">
        <v>1780</v>
      </c>
      <c r="I101" s="255">
        <v>1780</v>
      </c>
    </row>
    <row r="102" spans="1:9" s="6" customFormat="1" ht="66" x14ac:dyDescent="0.25">
      <c r="A102" s="7"/>
      <c r="B102" s="7"/>
      <c r="C102" s="7"/>
      <c r="D102" s="7"/>
      <c r="E102" s="37" t="s">
        <v>45</v>
      </c>
      <c r="F102" s="87">
        <v>0</v>
      </c>
      <c r="G102" s="87">
        <v>0</v>
      </c>
      <c r="H102" s="87">
        <v>3000</v>
      </c>
      <c r="I102" s="88">
        <v>3000</v>
      </c>
    </row>
    <row r="103" spans="1:9" s="16" customFormat="1" ht="82.5" x14ac:dyDescent="0.25">
      <c r="A103" s="7"/>
      <c r="B103" s="7"/>
      <c r="C103" s="7"/>
      <c r="D103" s="7"/>
      <c r="E103" s="37" t="s">
        <v>118</v>
      </c>
      <c r="F103" s="87">
        <v>0</v>
      </c>
      <c r="G103" s="87">
        <v>0</v>
      </c>
      <c r="H103" s="87">
        <v>130</v>
      </c>
      <c r="I103" s="87">
        <v>130</v>
      </c>
    </row>
    <row r="104" spans="1:9" s="16" customFormat="1" ht="66" x14ac:dyDescent="0.25">
      <c r="A104" s="7"/>
      <c r="B104" s="7"/>
      <c r="C104" s="7"/>
      <c r="D104" s="7"/>
      <c r="E104" s="37" t="s">
        <v>46</v>
      </c>
      <c r="F104" s="87">
        <v>0</v>
      </c>
      <c r="G104" s="87">
        <v>0</v>
      </c>
      <c r="H104" s="87">
        <v>350</v>
      </c>
      <c r="I104" s="87">
        <v>350</v>
      </c>
    </row>
    <row r="105" spans="1:9" s="13" customFormat="1" ht="49.5" x14ac:dyDescent="0.25">
      <c r="A105" s="7"/>
      <c r="B105" s="7"/>
      <c r="C105" s="7"/>
      <c r="D105" s="7"/>
      <c r="E105" s="37" t="s">
        <v>47</v>
      </c>
      <c r="F105" s="87">
        <v>0</v>
      </c>
      <c r="G105" s="87">
        <v>0</v>
      </c>
      <c r="H105" s="255">
        <v>3610</v>
      </c>
      <c r="I105" s="255">
        <v>3610</v>
      </c>
    </row>
    <row r="106" spans="1:9" s="6" customFormat="1" ht="82.5" x14ac:dyDescent="0.25">
      <c r="A106" s="7"/>
      <c r="B106" s="7"/>
      <c r="C106" s="7"/>
      <c r="D106" s="7"/>
      <c r="E106" s="37" t="s">
        <v>119</v>
      </c>
      <c r="F106" s="87">
        <v>0</v>
      </c>
      <c r="G106" s="87">
        <v>0</v>
      </c>
      <c r="H106" s="87">
        <v>900</v>
      </c>
      <c r="I106" s="88">
        <v>900</v>
      </c>
    </row>
    <row r="107" spans="1:9" s="13" customFormat="1" ht="66" x14ac:dyDescent="0.25">
      <c r="A107" s="7"/>
      <c r="B107" s="7"/>
      <c r="C107" s="7"/>
      <c r="D107" s="7"/>
      <c r="E107" s="37" t="s">
        <v>120</v>
      </c>
      <c r="F107" s="87">
        <v>0</v>
      </c>
      <c r="G107" s="87">
        <v>0</v>
      </c>
      <c r="H107" s="255">
        <v>1690</v>
      </c>
      <c r="I107" s="255">
        <v>1690</v>
      </c>
    </row>
    <row r="108" spans="1:9" s="13" customFormat="1" ht="49.5" x14ac:dyDescent="0.25">
      <c r="A108" s="7"/>
      <c r="B108" s="7"/>
      <c r="C108" s="7"/>
      <c r="D108" s="7"/>
      <c r="E108" s="37" t="s">
        <v>121</v>
      </c>
      <c r="F108" s="87">
        <v>0</v>
      </c>
      <c r="G108" s="87">
        <v>0</v>
      </c>
      <c r="H108" s="255">
        <v>1500</v>
      </c>
      <c r="I108" s="255">
        <v>1500</v>
      </c>
    </row>
    <row r="109" spans="1:9" s="13" customFormat="1" ht="66" x14ac:dyDescent="0.25">
      <c r="A109" s="269"/>
      <c r="B109" s="269"/>
      <c r="C109" s="269"/>
      <c r="D109" s="269"/>
      <c r="E109" s="268" t="s">
        <v>125</v>
      </c>
      <c r="F109" s="270">
        <f>SUM(F110+F130+F137)</f>
        <v>0</v>
      </c>
      <c r="G109" s="270">
        <f t="shared" ref="G109:I109" si="66">SUM(G110+G130+G137)</f>
        <v>0</v>
      </c>
      <c r="H109" s="270">
        <f t="shared" si="66"/>
        <v>36930</v>
      </c>
      <c r="I109" s="270">
        <f t="shared" si="66"/>
        <v>36930</v>
      </c>
    </row>
    <row r="110" spans="1:9" s="13" customFormat="1" ht="66" x14ac:dyDescent="0.25">
      <c r="A110" s="41"/>
      <c r="B110" s="41"/>
      <c r="C110" s="41"/>
      <c r="D110" s="41"/>
      <c r="E110" s="38" t="s">
        <v>108</v>
      </c>
      <c r="F110" s="255">
        <f>SUM(F111+F119+F122+F124+F126+F128)</f>
        <v>0</v>
      </c>
      <c r="G110" s="255">
        <f t="shared" ref="G110:I110" si="67">SUM(G111+G119+G122+G124+G126+G128)</f>
        <v>0</v>
      </c>
      <c r="H110" s="255">
        <f t="shared" si="67"/>
        <v>22490</v>
      </c>
      <c r="I110" s="255">
        <f t="shared" si="67"/>
        <v>22490</v>
      </c>
    </row>
    <row r="111" spans="1:9" s="13" customFormat="1" ht="49.5" x14ac:dyDescent="0.25">
      <c r="A111" s="41"/>
      <c r="B111" s="41"/>
      <c r="C111" s="41"/>
      <c r="D111" s="41"/>
      <c r="E111" s="37" t="s">
        <v>18</v>
      </c>
      <c r="F111" s="255">
        <f>SUM(F112:F118)</f>
        <v>0</v>
      </c>
      <c r="G111" s="255">
        <f t="shared" ref="G111:I111" si="68">SUM(G112:G118)</f>
        <v>0</v>
      </c>
      <c r="H111" s="255">
        <f t="shared" si="68"/>
        <v>5970</v>
      </c>
      <c r="I111" s="255">
        <f t="shared" si="68"/>
        <v>5970</v>
      </c>
    </row>
    <row r="112" spans="1:9" s="13" customFormat="1" ht="49.5" x14ac:dyDescent="0.25">
      <c r="A112" s="41"/>
      <c r="B112" s="41"/>
      <c r="C112" s="41"/>
      <c r="D112" s="41"/>
      <c r="E112" s="36" t="s">
        <v>19</v>
      </c>
      <c r="F112" s="255">
        <v>0</v>
      </c>
      <c r="G112" s="255">
        <v>0</v>
      </c>
      <c r="H112" s="255">
        <v>1010</v>
      </c>
      <c r="I112" s="255">
        <v>1010</v>
      </c>
    </row>
    <row r="113" spans="1:9" s="13" customFormat="1" ht="66" x14ac:dyDescent="0.25">
      <c r="A113" s="41"/>
      <c r="B113" s="41"/>
      <c r="C113" s="41"/>
      <c r="D113" s="41"/>
      <c r="E113" s="36" t="s">
        <v>20</v>
      </c>
      <c r="F113" s="255">
        <v>0</v>
      </c>
      <c r="G113" s="255">
        <v>0</v>
      </c>
      <c r="H113" s="87">
        <v>310</v>
      </c>
      <c r="I113" s="87">
        <v>310</v>
      </c>
    </row>
    <row r="114" spans="1:9" s="13" customFormat="1" ht="33" x14ac:dyDescent="0.25">
      <c r="A114" s="41"/>
      <c r="B114" s="41"/>
      <c r="C114" s="41"/>
      <c r="D114" s="41"/>
      <c r="E114" s="36" t="s">
        <v>21</v>
      </c>
      <c r="F114" s="255">
        <v>0</v>
      </c>
      <c r="G114" s="255">
        <v>0</v>
      </c>
      <c r="H114" s="87">
        <v>1260</v>
      </c>
      <c r="I114" s="87">
        <v>1260</v>
      </c>
    </row>
    <row r="115" spans="1:9" s="13" customFormat="1" ht="33" x14ac:dyDescent="0.25">
      <c r="A115" s="41"/>
      <c r="B115" s="41"/>
      <c r="C115" s="41"/>
      <c r="D115" s="41"/>
      <c r="E115" s="36" t="s">
        <v>22</v>
      </c>
      <c r="F115" s="255">
        <v>0</v>
      </c>
      <c r="G115" s="255">
        <v>0</v>
      </c>
      <c r="H115" s="87">
        <v>1590</v>
      </c>
      <c r="I115" s="87">
        <v>1590</v>
      </c>
    </row>
    <row r="116" spans="1:9" s="13" customFormat="1" ht="66" x14ac:dyDescent="0.25">
      <c r="A116" s="41"/>
      <c r="B116" s="41"/>
      <c r="C116" s="41"/>
      <c r="D116" s="41"/>
      <c r="E116" s="36" t="s">
        <v>109</v>
      </c>
      <c r="F116" s="255">
        <v>0</v>
      </c>
      <c r="G116" s="255">
        <v>0</v>
      </c>
      <c r="H116" s="87">
        <v>960</v>
      </c>
      <c r="I116" s="87">
        <v>960</v>
      </c>
    </row>
    <row r="117" spans="1:9" s="16" customFormat="1" ht="49.5" x14ac:dyDescent="0.25">
      <c r="A117" s="41"/>
      <c r="B117" s="41"/>
      <c r="C117" s="41"/>
      <c r="D117" s="41"/>
      <c r="E117" s="36" t="s">
        <v>23</v>
      </c>
      <c r="F117" s="255">
        <v>0</v>
      </c>
      <c r="G117" s="255">
        <v>0</v>
      </c>
      <c r="H117" s="87">
        <v>450</v>
      </c>
      <c r="I117" s="87">
        <v>450</v>
      </c>
    </row>
    <row r="118" spans="1:9" s="13" customFormat="1" ht="49.5" x14ac:dyDescent="0.25">
      <c r="A118" s="41"/>
      <c r="B118" s="41"/>
      <c r="C118" s="41"/>
      <c r="D118" s="41"/>
      <c r="E118" s="36" t="s">
        <v>24</v>
      </c>
      <c r="F118" s="255">
        <v>0</v>
      </c>
      <c r="G118" s="255">
        <v>0</v>
      </c>
      <c r="H118" s="87">
        <v>390</v>
      </c>
      <c r="I118" s="87">
        <v>390</v>
      </c>
    </row>
    <row r="119" spans="1:9" s="13" customFormat="1" ht="33" x14ac:dyDescent="0.25">
      <c r="A119" s="41"/>
      <c r="B119" s="41"/>
      <c r="C119" s="41"/>
      <c r="D119" s="41"/>
      <c r="E119" s="37" t="s">
        <v>25</v>
      </c>
      <c r="F119" s="255">
        <f>SUM(F120:F121)</f>
        <v>0</v>
      </c>
      <c r="G119" s="255">
        <f t="shared" ref="G119:I119" si="69">SUM(G120:G121)</f>
        <v>0</v>
      </c>
      <c r="H119" s="255">
        <f t="shared" si="69"/>
        <v>7230</v>
      </c>
      <c r="I119" s="255">
        <f t="shared" si="69"/>
        <v>7230</v>
      </c>
    </row>
    <row r="120" spans="1:9" s="16" customFormat="1" ht="49.5" x14ac:dyDescent="0.25">
      <c r="A120" s="41"/>
      <c r="B120" s="41"/>
      <c r="C120" s="41"/>
      <c r="D120" s="41"/>
      <c r="E120" s="36" t="s">
        <v>110</v>
      </c>
      <c r="F120" s="17">
        <v>0</v>
      </c>
      <c r="G120" s="17">
        <v>0</v>
      </c>
      <c r="H120" s="87">
        <v>5140</v>
      </c>
      <c r="I120" s="87">
        <v>5140</v>
      </c>
    </row>
    <row r="121" spans="1:9" s="13" customFormat="1" ht="82.5" x14ac:dyDescent="0.25">
      <c r="A121" s="41"/>
      <c r="B121" s="41"/>
      <c r="C121" s="41"/>
      <c r="D121" s="41"/>
      <c r="E121" s="36" t="s">
        <v>111</v>
      </c>
      <c r="F121" s="255">
        <v>0</v>
      </c>
      <c r="G121" s="255">
        <v>0</v>
      </c>
      <c r="H121" s="87">
        <v>2090</v>
      </c>
      <c r="I121" s="87">
        <v>2090</v>
      </c>
    </row>
    <row r="122" spans="1:9" s="16" customFormat="1" ht="33" x14ac:dyDescent="0.25">
      <c r="A122" s="41"/>
      <c r="B122" s="41"/>
      <c r="C122" s="41"/>
      <c r="D122" s="41"/>
      <c r="E122" s="37" t="s">
        <v>26</v>
      </c>
      <c r="F122" s="255">
        <f>SUM(F123)</f>
        <v>0</v>
      </c>
      <c r="G122" s="255">
        <f t="shared" ref="G122:I122" si="70">SUM(G123)</f>
        <v>0</v>
      </c>
      <c r="H122" s="255">
        <f t="shared" si="70"/>
        <v>110</v>
      </c>
      <c r="I122" s="255">
        <f t="shared" si="70"/>
        <v>110</v>
      </c>
    </row>
    <row r="123" spans="1:9" s="16" customFormat="1" ht="66" x14ac:dyDescent="0.25">
      <c r="A123" s="41"/>
      <c r="B123" s="41"/>
      <c r="C123" s="41"/>
      <c r="D123" s="41"/>
      <c r="E123" s="36" t="s">
        <v>27</v>
      </c>
      <c r="F123" s="17">
        <v>0</v>
      </c>
      <c r="G123" s="17">
        <v>0</v>
      </c>
      <c r="H123" s="17">
        <v>110</v>
      </c>
      <c r="I123" s="87">
        <v>110</v>
      </c>
    </row>
    <row r="124" spans="1:9" s="13" customFormat="1" ht="49.5" x14ac:dyDescent="0.25">
      <c r="A124" s="41"/>
      <c r="B124" s="41"/>
      <c r="C124" s="41"/>
      <c r="D124" s="41"/>
      <c r="E124" s="37" t="s">
        <v>28</v>
      </c>
      <c r="F124" s="255">
        <f>SUM(F125)</f>
        <v>0</v>
      </c>
      <c r="G124" s="255">
        <f t="shared" ref="G124:I124" si="71">SUM(G125)</f>
        <v>0</v>
      </c>
      <c r="H124" s="255">
        <f t="shared" si="71"/>
        <v>10</v>
      </c>
      <c r="I124" s="255">
        <f t="shared" si="71"/>
        <v>10</v>
      </c>
    </row>
    <row r="125" spans="1:9" s="13" customFormat="1" ht="33" x14ac:dyDescent="0.25">
      <c r="A125" s="41"/>
      <c r="B125" s="41"/>
      <c r="C125" s="41"/>
      <c r="D125" s="41"/>
      <c r="E125" s="36" t="s">
        <v>29</v>
      </c>
      <c r="F125" s="255">
        <v>0</v>
      </c>
      <c r="G125" s="255">
        <v>0</v>
      </c>
      <c r="H125" s="255">
        <v>10</v>
      </c>
      <c r="I125" s="87">
        <v>10</v>
      </c>
    </row>
    <row r="126" spans="1:9" s="13" customFormat="1" ht="33" x14ac:dyDescent="0.25">
      <c r="A126" s="41"/>
      <c r="B126" s="41"/>
      <c r="C126" s="41"/>
      <c r="D126" s="41"/>
      <c r="E126" s="37" t="s">
        <v>30</v>
      </c>
      <c r="F126" s="255">
        <f>SUM(F127)</f>
        <v>0</v>
      </c>
      <c r="G126" s="255">
        <f t="shared" ref="G126:I126" si="72">SUM(G127)</f>
        <v>0</v>
      </c>
      <c r="H126" s="255">
        <f t="shared" si="72"/>
        <v>170</v>
      </c>
      <c r="I126" s="255">
        <f t="shared" si="72"/>
        <v>170</v>
      </c>
    </row>
    <row r="127" spans="1:9" s="13" customFormat="1" ht="49.5" x14ac:dyDescent="0.25">
      <c r="A127" s="41"/>
      <c r="B127" s="41"/>
      <c r="C127" s="41"/>
      <c r="D127" s="41"/>
      <c r="E127" s="36" t="s">
        <v>112</v>
      </c>
      <c r="F127" s="255">
        <v>0</v>
      </c>
      <c r="G127" s="255">
        <v>0</v>
      </c>
      <c r="H127" s="255">
        <v>170</v>
      </c>
      <c r="I127" s="87">
        <v>170</v>
      </c>
    </row>
    <row r="128" spans="1:9" s="13" customFormat="1" ht="33" x14ac:dyDescent="0.25">
      <c r="A128" s="41"/>
      <c r="B128" s="41"/>
      <c r="C128" s="41"/>
      <c r="D128" s="41"/>
      <c r="E128" s="37" t="s">
        <v>113</v>
      </c>
      <c r="F128" s="255">
        <f>SUM(F129)</f>
        <v>0</v>
      </c>
      <c r="G128" s="255">
        <f t="shared" ref="G128:I128" si="73">SUM(G129)</f>
        <v>0</v>
      </c>
      <c r="H128" s="255">
        <f t="shared" si="73"/>
        <v>9000</v>
      </c>
      <c r="I128" s="255">
        <f t="shared" si="73"/>
        <v>9000</v>
      </c>
    </row>
    <row r="129" spans="1:9" s="13" customFormat="1" ht="49.5" x14ac:dyDescent="0.25">
      <c r="A129" s="41"/>
      <c r="B129" s="41"/>
      <c r="C129" s="41"/>
      <c r="D129" s="41"/>
      <c r="E129" s="36" t="s">
        <v>31</v>
      </c>
      <c r="F129" s="255">
        <v>0</v>
      </c>
      <c r="G129" s="255">
        <v>0</v>
      </c>
      <c r="H129" s="255">
        <v>9000</v>
      </c>
      <c r="I129" s="87">
        <v>9000</v>
      </c>
    </row>
    <row r="130" spans="1:9" s="13" customFormat="1" ht="66" x14ac:dyDescent="0.25">
      <c r="A130" s="41"/>
      <c r="B130" s="41"/>
      <c r="C130" s="41"/>
      <c r="D130" s="41"/>
      <c r="E130" s="38" t="s">
        <v>115</v>
      </c>
      <c r="F130" s="255">
        <f>SUM(F131+F133+F135)</f>
        <v>0</v>
      </c>
      <c r="G130" s="255">
        <f t="shared" ref="G130:I130" si="74">SUM(G131+G133+G135)</f>
        <v>0</v>
      </c>
      <c r="H130" s="255">
        <f t="shared" si="74"/>
        <v>2710</v>
      </c>
      <c r="I130" s="255">
        <f t="shared" si="74"/>
        <v>2710</v>
      </c>
    </row>
    <row r="131" spans="1:9" s="18" customFormat="1" ht="49.5" x14ac:dyDescent="0.25">
      <c r="A131" s="41"/>
      <c r="B131" s="41"/>
      <c r="C131" s="41"/>
      <c r="D131" s="41"/>
      <c r="E131" s="37" t="s">
        <v>32</v>
      </c>
      <c r="F131" s="255">
        <f>SUM(F132)</f>
        <v>0</v>
      </c>
      <c r="G131" s="255">
        <f t="shared" ref="G131:I131" si="75">SUM(G132)</f>
        <v>0</v>
      </c>
      <c r="H131" s="255">
        <f t="shared" si="75"/>
        <v>1260</v>
      </c>
      <c r="I131" s="255">
        <f t="shared" si="75"/>
        <v>1260</v>
      </c>
    </row>
    <row r="132" spans="1:9" s="16" customFormat="1" ht="33" x14ac:dyDescent="0.25">
      <c r="A132" s="41"/>
      <c r="B132" s="41"/>
      <c r="C132" s="41"/>
      <c r="D132" s="41"/>
      <c r="E132" s="36" t="s">
        <v>33</v>
      </c>
      <c r="F132" s="255">
        <v>0</v>
      </c>
      <c r="G132" s="255">
        <v>0</v>
      </c>
      <c r="H132" s="255">
        <v>1260</v>
      </c>
      <c r="I132" s="87">
        <v>1260</v>
      </c>
    </row>
    <row r="133" spans="1:9" s="13" customFormat="1" ht="33" x14ac:dyDescent="0.25">
      <c r="A133" s="41"/>
      <c r="B133" s="41"/>
      <c r="C133" s="41"/>
      <c r="D133" s="41"/>
      <c r="E133" s="37" t="s">
        <v>34</v>
      </c>
      <c r="F133" s="87">
        <f>SUM(F134)</f>
        <v>0</v>
      </c>
      <c r="G133" s="87">
        <f t="shared" ref="G133:I133" si="76">SUM(G134)</f>
        <v>0</v>
      </c>
      <c r="H133" s="87">
        <f t="shared" si="76"/>
        <v>1260</v>
      </c>
      <c r="I133" s="87">
        <f t="shared" si="76"/>
        <v>1260</v>
      </c>
    </row>
    <row r="134" spans="1:9" s="16" customFormat="1" ht="49.5" x14ac:dyDescent="0.25">
      <c r="A134" s="41"/>
      <c r="B134" s="41"/>
      <c r="C134" s="41"/>
      <c r="D134" s="41"/>
      <c r="E134" s="36" t="s">
        <v>35</v>
      </c>
      <c r="F134" s="87">
        <v>0</v>
      </c>
      <c r="G134" s="87">
        <v>0</v>
      </c>
      <c r="H134" s="87">
        <v>1260</v>
      </c>
      <c r="I134" s="87">
        <v>1260</v>
      </c>
    </row>
    <row r="135" spans="1:9" ht="66" x14ac:dyDescent="0.25">
      <c r="A135" s="41"/>
      <c r="B135" s="41"/>
      <c r="C135" s="41"/>
      <c r="D135" s="41"/>
      <c r="E135" s="37" t="s">
        <v>36</v>
      </c>
      <c r="F135" s="87">
        <f>SUM(F136)</f>
        <v>0</v>
      </c>
      <c r="G135" s="87">
        <f t="shared" ref="G135:I135" si="77">SUM(G136)</f>
        <v>0</v>
      </c>
      <c r="H135" s="87">
        <f t="shared" si="77"/>
        <v>190</v>
      </c>
      <c r="I135" s="87">
        <f t="shared" si="77"/>
        <v>190</v>
      </c>
    </row>
    <row r="136" spans="1:9" ht="33" x14ac:dyDescent="0.25">
      <c r="A136" s="41"/>
      <c r="B136" s="41"/>
      <c r="C136" s="41"/>
      <c r="D136" s="41"/>
      <c r="E136" s="36" t="s">
        <v>37</v>
      </c>
      <c r="F136" s="87">
        <v>0</v>
      </c>
      <c r="G136" s="87">
        <v>0</v>
      </c>
      <c r="H136" s="87">
        <v>190</v>
      </c>
      <c r="I136" s="87">
        <v>190</v>
      </c>
    </row>
    <row r="137" spans="1:9" ht="66" x14ac:dyDescent="0.25">
      <c r="A137" s="41"/>
      <c r="B137" s="41"/>
      <c r="C137" s="41"/>
      <c r="D137" s="41"/>
      <c r="E137" s="38" t="s">
        <v>116</v>
      </c>
      <c r="F137" s="87">
        <f>SUM(F138+F140+F141+F142+F143+F144+F145+F146+F147+F148+F149+F150+F151+F152)</f>
        <v>0</v>
      </c>
      <c r="G137" s="87">
        <f t="shared" ref="G137:I137" si="78">SUM(G138+G140+G141+G142+G143+G144+G145+G146+G147+G148+G149+G150+G151+G152)</f>
        <v>0</v>
      </c>
      <c r="H137" s="87">
        <f t="shared" si="78"/>
        <v>11730</v>
      </c>
      <c r="I137" s="87">
        <f t="shared" si="78"/>
        <v>11730</v>
      </c>
    </row>
    <row r="138" spans="1:9" ht="33" x14ac:dyDescent="0.25">
      <c r="A138" s="41"/>
      <c r="B138" s="41"/>
      <c r="C138" s="41"/>
      <c r="D138" s="41"/>
      <c r="E138" s="37" t="s">
        <v>38</v>
      </c>
      <c r="F138" s="87">
        <f>SUM(F139)</f>
        <v>0</v>
      </c>
      <c r="G138" s="87">
        <f t="shared" ref="G138:I138" si="79">SUM(G139)</f>
        <v>0</v>
      </c>
      <c r="H138" s="87">
        <f t="shared" si="79"/>
        <v>390</v>
      </c>
      <c r="I138" s="87">
        <f t="shared" si="79"/>
        <v>390</v>
      </c>
    </row>
    <row r="139" spans="1:9" ht="66" x14ac:dyDescent="0.25">
      <c r="A139" s="41"/>
      <c r="B139" s="41"/>
      <c r="C139" s="41"/>
      <c r="D139" s="41"/>
      <c r="E139" s="36" t="s">
        <v>39</v>
      </c>
      <c r="F139" s="87">
        <v>0</v>
      </c>
      <c r="G139" s="87">
        <v>0</v>
      </c>
      <c r="H139" s="87">
        <v>390</v>
      </c>
      <c r="I139" s="87">
        <v>390</v>
      </c>
    </row>
    <row r="140" spans="1:9" ht="99" x14ac:dyDescent="0.25">
      <c r="A140" s="41"/>
      <c r="B140" s="41"/>
      <c r="C140" s="41"/>
      <c r="D140" s="41"/>
      <c r="E140" s="37" t="s">
        <v>117</v>
      </c>
      <c r="F140" s="87">
        <v>0</v>
      </c>
      <c r="G140" s="87">
        <v>0</v>
      </c>
      <c r="H140" s="87">
        <v>480</v>
      </c>
      <c r="I140" s="87">
        <v>480</v>
      </c>
    </row>
    <row r="141" spans="1:9" ht="82.5" x14ac:dyDescent="0.25">
      <c r="A141" s="41"/>
      <c r="B141" s="41"/>
      <c r="C141" s="41"/>
      <c r="D141" s="41"/>
      <c r="E141" s="37" t="s">
        <v>40</v>
      </c>
      <c r="F141" s="87">
        <v>0</v>
      </c>
      <c r="G141" s="87">
        <v>0</v>
      </c>
      <c r="H141" s="87">
        <v>180</v>
      </c>
      <c r="I141" s="87">
        <v>180</v>
      </c>
    </row>
    <row r="142" spans="1:9" ht="66" x14ac:dyDescent="0.25">
      <c r="A142" s="41"/>
      <c r="B142" s="41"/>
      <c r="C142" s="41"/>
      <c r="D142" s="41"/>
      <c r="E142" s="37" t="s">
        <v>41</v>
      </c>
      <c r="F142" s="87">
        <v>0</v>
      </c>
      <c r="G142" s="87">
        <v>0</v>
      </c>
      <c r="H142" s="87">
        <v>600</v>
      </c>
      <c r="I142" s="87">
        <v>600</v>
      </c>
    </row>
    <row r="143" spans="1:9" ht="33" x14ac:dyDescent="0.25">
      <c r="A143" s="41"/>
      <c r="B143" s="41"/>
      <c r="C143" s="41"/>
      <c r="D143" s="41"/>
      <c r="E143" s="37" t="s">
        <v>42</v>
      </c>
      <c r="F143" s="87">
        <v>0</v>
      </c>
      <c r="G143" s="87">
        <v>0</v>
      </c>
      <c r="H143" s="87">
        <v>710</v>
      </c>
      <c r="I143" s="87">
        <v>710</v>
      </c>
    </row>
    <row r="144" spans="1:9" ht="66" x14ac:dyDescent="0.25">
      <c r="A144" s="41"/>
      <c r="B144" s="41"/>
      <c r="C144" s="41"/>
      <c r="D144" s="41"/>
      <c r="E144" s="37" t="s">
        <v>43</v>
      </c>
      <c r="F144" s="87">
        <v>0</v>
      </c>
      <c r="G144" s="87">
        <v>0</v>
      </c>
      <c r="H144" s="87">
        <v>1210</v>
      </c>
      <c r="I144" s="87">
        <v>1210</v>
      </c>
    </row>
    <row r="145" spans="1:9" ht="66" x14ac:dyDescent="0.25">
      <c r="A145" s="41"/>
      <c r="B145" s="41"/>
      <c r="C145" s="41"/>
      <c r="D145" s="41"/>
      <c r="E145" s="37" t="s">
        <v>44</v>
      </c>
      <c r="F145" s="87">
        <v>0</v>
      </c>
      <c r="G145" s="87">
        <v>0</v>
      </c>
      <c r="H145" s="87">
        <v>1180</v>
      </c>
      <c r="I145" s="87">
        <v>1180</v>
      </c>
    </row>
    <row r="146" spans="1:9" ht="66" x14ac:dyDescent="0.25">
      <c r="A146" s="41"/>
      <c r="B146" s="41"/>
      <c r="C146" s="41"/>
      <c r="D146" s="41"/>
      <c r="E146" s="37" t="s">
        <v>45</v>
      </c>
      <c r="F146" s="87">
        <v>0</v>
      </c>
      <c r="G146" s="87">
        <v>0</v>
      </c>
      <c r="H146" s="87">
        <v>1790</v>
      </c>
      <c r="I146" s="87">
        <v>1790</v>
      </c>
    </row>
    <row r="147" spans="1:9" ht="82.5" x14ac:dyDescent="0.25">
      <c r="A147" s="41"/>
      <c r="B147" s="41"/>
      <c r="C147" s="41"/>
      <c r="D147" s="41"/>
      <c r="E147" s="37" t="s">
        <v>118</v>
      </c>
      <c r="F147" s="87">
        <v>0</v>
      </c>
      <c r="G147" s="87">
        <v>0</v>
      </c>
      <c r="H147" s="87">
        <v>80</v>
      </c>
      <c r="I147" s="87">
        <v>80</v>
      </c>
    </row>
    <row r="148" spans="1:9" ht="66" x14ac:dyDescent="0.25">
      <c r="A148" s="41"/>
      <c r="B148" s="41"/>
      <c r="C148" s="41"/>
      <c r="D148" s="41"/>
      <c r="E148" s="37" t="s">
        <v>46</v>
      </c>
      <c r="F148" s="87">
        <v>0</v>
      </c>
      <c r="G148" s="87">
        <v>0</v>
      </c>
      <c r="H148" s="87">
        <v>210</v>
      </c>
      <c r="I148" s="87">
        <v>210</v>
      </c>
    </row>
    <row r="149" spans="1:9" ht="49.5" x14ac:dyDescent="0.25">
      <c r="A149" s="41"/>
      <c r="B149" s="41"/>
      <c r="C149" s="41"/>
      <c r="D149" s="41"/>
      <c r="E149" s="37" t="s">
        <v>47</v>
      </c>
      <c r="F149" s="87">
        <v>0</v>
      </c>
      <c r="G149" s="87">
        <v>0</v>
      </c>
      <c r="H149" s="87">
        <v>2160</v>
      </c>
      <c r="I149" s="87">
        <v>2160</v>
      </c>
    </row>
    <row r="150" spans="1:9" ht="82.5" x14ac:dyDescent="0.25">
      <c r="A150" s="41"/>
      <c r="B150" s="41"/>
      <c r="C150" s="41"/>
      <c r="D150" s="41"/>
      <c r="E150" s="37" t="s">
        <v>119</v>
      </c>
      <c r="F150" s="87">
        <v>0</v>
      </c>
      <c r="G150" s="87">
        <v>0</v>
      </c>
      <c r="H150" s="87">
        <v>540</v>
      </c>
      <c r="I150" s="87">
        <v>540</v>
      </c>
    </row>
    <row r="151" spans="1:9" ht="66" x14ac:dyDescent="0.25">
      <c r="A151" s="41"/>
      <c r="B151" s="41"/>
      <c r="C151" s="41"/>
      <c r="D151" s="41"/>
      <c r="E151" s="37" t="s">
        <v>120</v>
      </c>
      <c r="F151" s="87">
        <v>0</v>
      </c>
      <c r="G151" s="87">
        <v>0</v>
      </c>
      <c r="H151" s="87">
        <v>1300</v>
      </c>
      <c r="I151" s="87">
        <v>1300</v>
      </c>
    </row>
    <row r="152" spans="1:9" ht="49.5" x14ac:dyDescent="0.25">
      <c r="A152" s="41"/>
      <c r="B152" s="41"/>
      <c r="C152" s="41"/>
      <c r="D152" s="41"/>
      <c r="E152" s="37" t="s">
        <v>121</v>
      </c>
      <c r="F152" s="87">
        <v>0</v>
      </c>
      <c r="G152" s="87">
        <v>0</v>
      </c>
      <c r="H152" s="87">
        <v>900</v>
      </c>
      <c r="I152" s="87">
        <v>900</v>
      </c>
    </row>
    <row r="153" spans="1:9" ht="115.5" x14ac:dyDescent="0.25">
      <c r="A153" s="265"/>
      <c r="B153" s="265"/>
      <c r="C153" s="265"/>
      <c r="D153" s="265"/>
      <c r="E153" s="264" t="s">
        <v>153</v>
      </c>
      <c r="F153" s="262">
        <f>SUM(F154+F161+F163)</f>
        <v>0</v>
      </c>
      <c r="G153" s="262">
        <f t="shared" ref="G153" si="80">SUM(G154+G161+G163)</f>
        <v>0</v>
      </c>
      <c r="H153" s="262">
        <f>SUM(H154+H161+H163)</f>
        <v>73910</v>
      </c>
      <c r="I153" s="262">
        <f>SUM(I154+I161+I163)</f>
        <v>73910</v>
      </c>
    </row>
    <row r="154" spans="1:9" ht="66" x14ac:dyDescent="0.25">
      <c r="A154" s="41"/>
      <c r="B154" s="41"/>
      <c r="C154" s="41"/>
      <c r="D154" s="41"/>
      <c r="E154" s="37" t="s">
        <v>108</v>
      </c>
      <c r="F154" s="87">
        <f>SUM(F155+F157+F159)</f>
        <v>0</v>
      </c>
      <c r="G154" s="87">
        <f t="shared" ref="G154" si="81">SUM(G155+G157+G159)</f>
        <v>0</v>
      </c>
      <c r="H154" s="87">
        <f>SUM(H155+H157+H159)</f>
        <v>40150</v>
      </c>
      <c r="I154" s="87">
        <f>SUM(I155+I157+I159)</f>
        <v>40150</v>
      </c>
    </row>
    <row r="155" spans="1:9" ht="33" x14ac:dyDescent="0.25">
      <c r="A155" s="41"/>
      <c r="B155" s="41"/>
      <c r="C155" s="41"/>
      <c r="D155" s="41"/>
      <c r="E155" s="37" t="s">
        <v>25</v>
      </c>
      <c r="F155" s="87">
        <f t="shared" ref="F155:G163" si="82">SUM(F156+F158+F160)</f>
        <v>0</v>
      </c>
      <c r="G155" s="87">
        <f t="shared" si="82"/>
        <v>0</v>
      </c>
      <c r="H155" s="87">
        <f>SUM(H156)</f>
        <v>350</v>
      </c>
      <c r="I155" s="87">
        <v>350</v>
      </c>
    </row>
    <row r="156" spans="1:9" ht="66" x14ac:dyDescent="0.25">
      <c r="A156" s="41"/>
      <c r="B156" s="41"/>
      <c r="C156" s="41"/>
      <c r="D156" s="41"/>
      <c r="E156" s="36" t="s">
        <v>127</v>
      </c>
      <c r="F156" s="87">
        <f t="shared" si="82"/>
        <v>0</v>
      </c>
      <c r="G156" s="87">
        <f t="shared" si="82"/>
        <v>0</v>
      </c>
      <c r="H156" s="87">
        <v>350</v>
      </c>
      <c r="I156" s="87">
        <v>350</v>
      </c>
    </row>
    <row r="157" spans="1:9" x14ac:dyDescent="0.25">
      <c r="A157" s="41"/>
      <c r="B157" s="41"/>
      <c r="C157" s="41"/>
      <c r="D157" s="41"/>
      <c r="E157" s="37" t="s">
        <v>128</v>
      </c>
      <c r="F157" s="87">
        <f t="shared" si="82"/>
        <v>0</v>
      </c>
      <c r="G157" s="87">
        <f t="shared" si="82"/>
        <v>0</v>
      </c>
      <c r="H157" s="87">
        <v>37900</v>
      </c>
      <c r="I157" s="87">
        <v>37900</v>
      </c>
    </row>
    <row r="158" spans="1:9" ht="33" x14ac:dyDescent="0.25">
      <c r="A158" s="41"/>
      <c r="B158" s="41"/>
      <c r="C158" s="41"/>
      <c r="D158" s="41"/>
      <c r="E158" s="36" t="s">
        <v>129</v>
      </c>
      <c r="F158" s="87">
        <f t="shared" si="82"/>
        <v>0</v>
      </c>
      <c r="G158" s="87">
        <f t="shared" si="82"/>
        <v>0</v>
      </c>
      <c r="H158" s="87">
        <v>37900</v>
      </c>
      <c r="I158" s="87">
        <v>37900</v>
      </c>
    </row>
    <row r="159" spans="1:9" ht="33" x14ac:dyDescent="0.25">
      <c r="A159" s="41"/>
      <c r="B159" s="41"/>
      <c r="C159" s="41"/>
      <c r="D159" s="41"/>
      <c r="E159" s="37" t="s">
        <v>130</v>
      </c>
      <c r="F159" s="87">
        <f t="shared" si="82"/>
        <v>0</v>
      </c>
      <c r="G159" s="87">
        <f t="shared" si="82"/>
        <v>0</v>
      </c>
      <c r="H159" s="87">
        <v>1900</v>
      </c>
      <c r="I159" s="87">
        <v>1900</v>
      </c>
    </row>
    <row r="160" spans="1:9" ht="66" x14ac:dyDescent="0.25">
      <c r="A160" s="41"/>
      <c r="B160" s="41"/>
      <c r="C160" s="41"/>
      <c r="D160" s="41"/>
      <c r="E160" s="36" t="s">
        <v>131</v>
      </c>
      <c r="F160" s="87">
        <f t="shared" si="82"/>
        <v>0</v>
      </c>
      <c r="G160" s="87">
        <f t="shared" si="82"/>
        <v>0</v>
      </c>
      <c r="H160" s="87">
        <v>1900</v>
      </c>
      <c r="I160" s="87">
        <v>1900</v>
      </c>
    </row>
    <row r="161" spans="1:9" ht="66" x14ac:dyDescent="0.25">
      <c r="A161" s="41"/>
      <c r="B161" s="41"/>
      <c r="C161" s="41"/>
      <c r="D161" s="41"/>
      <c r="E161" s="37" t="s">
        <v>115</v>
      </c>
      <c r="F161" s="87">
        <f t="shared" si="82"/>
        <v>0</v>
      </c>
      <c r="G161" s="87">
        <f t="shared" si="82"/>
        <v>0</v>
      </c>
      <c r="H161" s="87">
        <v>200</v>
      </c>
      <c r="I161" s="90">
        <f t="shared" ref="I161" si="83">SUM(I162)</f>
        <v>200</v>
      </c>
    </row>
    <row r="162" spans="1:9" ht="66" x14ac:dyDescent="0.25">
      <c r="A162" s="41"/>
      <c r="B162" s="41"/>
      <c r="C162" s="41"/>
      <c r="D162" s="41"/>
      <c r="E162" s="36" t="s">
        <v>132</v>
      </c>
      <c r="F162" s="87">
        <f t="shared" si="82"/>
        <v>0</v>
      </c>
      <c r="G162" s="87">
        <f t="shared" si="82"/>
        <v>0</v>
      </c>
      <c r="H162" s="87">
        <v>200</v>
      </c>
      <c r="I162" s="87">
        <v>200</v>
      </c>
    </row>
    <row r="163" spans="1:9" ht="66" x14ac:dyDescent="0.25">
      <c r="A163" s="41"/>
      <c r="B163" s="41"/>
      <c r="C163" s="41"/>
      <c r="D163" s="41"/>
      <c r="E163" s="37" t="s">
        <v>116</v>
      </c>
      <c r="F163" s="87">
        <f t="shared" si="82"/>
        <v>0</v>
      </c>
      <c r="G163" s="87">
        <f t="shared" si="82"/>
        <v>0</v>
      </c>
      <c r="H163" s="87">
        <f t="shared" ref="H163:I163" si="84">SUM(H164:H176)</f>
        <v>33560</v>
      </c>
      <c r="I163" s="87">
        <f t="shared" si="84"/>
        <v>33560</v>
      </c>
    </row>
    <row r="164" spans="1:9" ht="82.5" x14ac:dyDescent="0.25">
      <c r="A164" s="41"/>
      <c r="B164" s="41"/>
      <c r="C164" s="41"/>
      <c r="D164" s="41"/>
      <c r="E164" s="36" t="s">
        <v>133</v>
      </c>
      <c r="F164" s="87">
        <v>0</v>
      </c>
      <c r="G164" s="87">
        <v>0</v>
      </c>
      <c r="H164" s="87">
        <v>7000</v>
      </c>
      <c r="I164" s="87">
        <v>7000</v>
      </c>
    </row>
    <row r="165" spans="1:9" ht="66" x14ac:dyDescent="0.25">
      <c r="A165" s="41"/>
      <c r="B165" s="41"/>
      <c r="C165" s="41"/>
      <c r="D165" s="41"/>
      <c r="E165" s="36" t="s">
        <v>134</v>
      </c>
      <c r="F165" s="87">
        <v>0</v>
      </c>
      <c r="G165" s="87">
        <v>0</v>
      </c>
      <c r="H165" s="87">
        <v>3600</v>
      </c>
      <c r="I165" s="87">
        <v>3600</v>
      </c>
    </row>
    <row r="166" spans="1:9" ht="49.5" x14ac:dyDescent="0.25">
      <c r="A166" s="41"/>
      <c r="B166" s="41"/>
      <c r="C166" s="41"/>
      <c r="D166" s="41"/>
      <c r="E166" s="36" t="s">
        <v>135</v>
      </c>
      <c r="F166" s="87">
        <v>0</v>
      </c>
      <c r="G166" s="87">
        <v>0</v>
      </c>
      <c r="H166" s="87">
        <v>1300</v>
      </c>
      <c r="I166" s="87">
        <v>1300</v>
      </c>
    </row>
    <row r="167" spans="1:9" ht="66" x14ac:dyDescent="0.25">
      <c r="A167" s="41"/>
      <c r="B167" s="41"/>
      <c r="C167" s="41"/>
      <c r="D167" s="41"/>
      <c r="E167" s="36" t="s">
        <v>136</v>
      </c>
      <c r="F167" s="87">
        <v>0</v>
      </c>
      <c r="G167" s="87">
        <v>0</v>
      </c>
      <c r="H167" s="87">
        <v>3370</v>
      </c>
      <c r="I167" s="87">
        <v>3370</v>
      </c>
    </row>
    <row r="168" spans="1:9" ht="82.5" x14ac:dyDescent="0.25">
      <c r="A168" s="41"/>
      <c r="B168" s="41"/>
      <c r="C168" s="41"/>
      <c r="D168" s="41"/>
      <c r="E168" s="36" t="s">
        <v>137</v>
      </c>
      <c r="F168" s="87">
        <v>0</v>
      </c>
      <c r="G168" s="87">
        <v>0</v>
      </c>
      <c r="H168" s="87">
        <v>2400</v>
      </c>
      <c r="I168" s="87">
        <v>2400</v>
      </c>
    </row>
    <row r="169" spans="1:9" ht="49.5" x14ac:dyDescent="0.25">
      <c r="A169" s="41"/>
      <c r="B169" s="41"/>
      <c r="C169" s="41"/>
      <c r="D169" s="41"/>
      <c r="E169" s="36" t="s">
        <v>138</v>
      </c>
      <c r="F169" s="87">
        <v>0</v>
      </c>
      <c r="G169" s="87">
        <v>0</v>
      </c>
      <c r="H169" s="87">
        <v>2200</v>
      </c>
      <c r="I169" s="87">
        <v>2200</v>
      </c>
    </row>
    <row r="170" spans="1:9" ht="66" x14ac:dyDescent="0.25">
      <c r="A170" s="41"/>
      <c r="B170" s="41"/>
      <c r="C170" s="41"/>
      <c r="D170" s="41"/>
      <c r="E170" s="36" t="s">
        <v>139</v>
      </c>
      <c r="F170" s="87">
        <v>0</v>
      </c>
      <c r="G170" s="87">
        <v>0</v>
      </c>
      <c r="H170" s="87">
        <v>1130</v>
      </c>
      <c r="I170" s="87">
        <v>1130</v>
      </c>
    </row>
    <row r="171" spans="1:9" ht="49.5" x14ac:dyDescent="0.25">
      <c r="A171" s="41"/>
      <c r="B171" s="41"/>
      <c r="C171" s="41"/>
      <c r="D171" s="41"/>
      <c r="E171" s="36" t="s">
        <v>140</v>
      </c>
      <c r="F171" s="87">
        <v>0</v>
      </c>
      <c r="G171" s="87">
        <v>0</v>
      </c>
      <c r="H171" s="87">
        <v>700</v>
      </c>
      <c r="I171" s="87">
        <v>700</v>
      </c>
    </row>
    <row r="172" spans="1:9" ht="49.5" x14ac:dyDescent="0.25">
      <c r="A172" s="41"/>
      <c r="B172" s="41"/>
      <c r="C172" s="41"/>
      <c r="D172" s="41"/>
      <c r="E172" s="36" t="s">
        <v>141</v>
      </c>
      <c r="F172" s="87">
        <v>0</v>
      </c>
      <c r="G172" s="87">
        <v>0</v>
      </c>
      <c r="H172" s="87">
        <v>1360</v>
      </c>
      <c r="I172" s="87">
        <v>1360</v>
      </c>
    </row>
    <row r="173" spans="1:9" ht="49.5" x14ac:dyDescent="0.25">
      <c r="A173" s="41"/>
      <c r="B173" s="41"/>
      <c r="C173" s="41"/>
      <c r="D173" s="41"/>
      <c r="E173" s="36" t="s">
        <v>142</v>
      </c>
      <c r="F173" s="87">
        <v>0</v>
      </c>
      <c r="G173" s="87">
        <v>0</v>
      </c>
      <c r="H173" s="87">
        <v>1300</v>
      </c>
      <c r="I173" s="87">
        <v>1300</v>
      </c>
    </row>
    <row r="174" spans="1:9" ht="49.5" x14ac:dyDescent="0.25">
      <c r="A174" s="41"/>
      <c r="B174" s="41"/>
      <c r="C174" s="41"/>
      <c r="D174" s="41"/>
      <c r="E174" s="36" t="s">
        <v>143</v>
      </c>
      <c r="F174" s="87">
        <v>0</v>
      </c>
      <c r="G174" s="87">
        <v>0</v>
      </c>
      <c r="H174" s="87">
        <v>1500</v>
      </c>
      <c r="I174" s="87">
        <v>1500</v>
      </c>
    </row>
    <row r="175" spans="1:9" ht="82.5" x14ac:dyDescent="0.25">
      <c r="A175" s="41"/>
      <c r="B175" s="41"/>
      <c r="C175" s="41"/>
      <c r="D175" s="41"/>
      <c r="E175" s="36" t="s">
        <v>144</v>
      </c>
      <c r="F175" s="87">
        <v>0</v>
      </c>
      <c r="G175" s="87">
        <v>0</v>
      </c>
      <c r="H175" s="87">
        <v>6000</v>
      </c>
      <c r="I175" s="87">
        <v>6000</v>
      </c>
    </row>
    <row r="176" spans="1:9" ht="49.5" x14ac:dyDescent="0.25">
      <c r="A176" s="41"/>
      <c r="B176" s="41"/>
      <c r="C176" s="41"/>
      <c r="D176" s="41"/>
      <c r="E176" s="36" t="s">
        <v>145</v>
      </c>
      <c r="F176" s="87">
        <v>0</v>
      </c>
      <c r="G176" s="87">
        <v>0</v>
      </c>
      <c r="H176" s="87">
        <v>1700</v>
      </c>
      <c r="I176" s="87">
        <v>1700</v>
      </c>
    </row>
    <row r="177" spans="1:17" ht="49.5" x14ac:dyDescent="0.25">
      <c r="A177" s="7" t="s">
        <v>10</v>
      </c>
      <c r="B177" s="7" t="s">
        <v>11</v>
      </c>
      <c r="C177" s="7" t="s">
        <v>12</v>
      </c>
      <c r="D177" s="49" t="s">
        <v>60</v>
      </c>
      <c r="E177" s="25" t="s">
        <v>80</v>
      </c>
      <c r="F177" s="87">
        <f>SUM(F179+F205+F193+F217)</f>
        <v>69252.5</v>
      </c>
      <c r="G177" s="87">
        <f t="shared" ref="G177:I177" si="85">SUM(G179+G205+G193+G217)</f>
        <v>157412.5</v>
      </c>
      <c r="H177" s="87">
        <f t="shared" si="85"/>
        <v>260612.5</v>
      </c>
      <c r="I177" s="87">
        <f t="shared" si="85"/>
        <v>342982.5</v>
      </c>
    </row>
    <row r="178" spans="1:17" x14ac:dyDescent="0.25">
      <c r="A178" s="7"/>
      <c r="B178" s="7"/>
      <c r="C178" s="7"/>
      <c r="D178" s="8"/>
      <c r="E178" s="22" t="s">
        <v>73</v>
      </c>
      <c r="F178" s="55"/>
      <c r="G178" s="55"/>
      <c r="H178" s="55"/>
      <c r="I178" s="87"/>
      <c r="J178" s="540" t="s">
        <v>265</v>
      </c>
      <c r="K178" s="540"/>
      <c r="L178" s="540"/>
      <c r="M178" s="540"/>
      <c r="N178" s="541" t="s">
        <v>266</v>
      </c>
      <c r="O178" s="542"/>
      <c r="P178" s="542"/>
      <c r="Q178" s="542"/>
    </row>
    <row r="179" spans="1:17" ht="49.5" x14ac:dyDescent="0.25">
      <c r="A179" s="7"/>
      <c r="B179" s="7"/>
      <c r="C179" s="7"/>
      <c r="D179" s="8"/>
      <c r="E179" s="45" t="s">
        <v>156</v>
      </c>
      <c r="F179" s="87">
        <f>SUM(F180+F182+F185+F186+F187+F188+F189+F190+F191+F192)</f>
        <v>69182.5</v>
      </c>
      <c r="G179" s="87">
        <f t="shared" ref="G179:I179" si="86">SUM(G180+G182+G185+G186+G187+G188+G189+G190+G191+G192)</f>
        <v>139882.5</v>
      </c>
      <c r="H179" s="87">
        <f t="shared" si="86"/>
        <v>223682.5</v>
      </c>
      <c r="I179" s="87">
        <f t="shared" si="86"/>
        <v>305852.5</v>
      </c>
      <c r="J179" s="81">
        <f t="shared" ref="J179:L179" si="87">SUM(J182+J185+J186+J187+J188+J189+J190+J191+J192+J180)</f>
        <v>-3490</v>
      </c>
      <c r="K179" s="81">
        <f t="shared" si="87"/>
        <v>-3490</v>
      </c>
      <c r="L179" s="81">
        <f t="shared" si="87"/>
        <v>-3490</v>
      </c>
      <c r="M179" s="81">
        <f t="shared" ref="M179" si="88">SUM(M182+M185+M186+M187+M188+M189+M190+M191+M192+M180)</f>
        <v>-3490</v>
      </c>
      <c r="N179" s="276">
        <f>SUM(F179-J179)</f>
        <v>72672.5</v>
      </c>
      <c r="O179" s="276">
        <f t="shared" ref="O179:Q179" si="89">SUM(G179-K179)</f>
        <v>143372.5</v>
      </c>
      <c r="P179" s="276">
        <f t="shared" si="89"/>
        <v>227172.5</v>
      </c>
      <c r="Q179" s="276">
        <f t="shared" si="89"/>
        <v>309342.5</v>
      </c>
    </row>
    <row r="180" spans="1:17" ht="49.5" x14ac:dyDescent="0.25">
      <c r="A180" s="7"/>
      <c r="B180" s="7"/>
      <c r="C180" s="7"/>
      <c r="D180" s="8"/>
      <c r="E180" s="27" t="s">
        <v>18</v>
      </c>
      <c r="F180" s="87">
        <v>-3000</v>
      </c>
      <c r="G180" s="87">
        <v>-3000</v>
      </c>
      <c r="H180" s="87">
        <v>-3000</v>
      </c>
      <c r="I180" s="87">
        <v>-3000</v>
      </c>
      <c r="J180" s="81">
        <f t="shared" ref="J180:L180" si="90">SUM(J181)</f>
        <v>-3000</v>
      </c>
      <c r="K180" s="81">
        <f t="shared" si="90"/>
        <v>-3000</v>
      </c>
      <c r="L180" s="81">
        <f t="shared" si="90"/>
        <v>-3000</v>
      </c>
      <c r="M180" s="81">
        <f t="shared" ref="M180" si="91">SUM(M181)</f>
        <v>-3000</v>
      </c>
      <c r="N180" s="263">
        <f t="shared" ref="N180:N191" si="92">SUM(F180-J180)</f>
        <v>0</v>
      </c>
      <c r="O180" s="263">
        <f t="shared" ref="O180:O192" si="93">SUM(G180-K180)</f>
        <v>0</v>
      </c>
      <c r="P180" s="263">
        <f t="shared" ref="P180:P192" si="94">SUM(H180-L180)</f>
        <v>0</v>
      </c>
      <c r="Q180" s="263">
        <f t="shared" ref="Q180:Q192" si="95">SUM(I180-M180)</f>
        <v>0</v>
      </c>
    </row>
    <row r="181" spans="1:17" ht="49.5" x14ac:dyDescent="0.25">
      <c r="A181" s="7"/>
      <c r="B181" s="7"/>
      <c r="C181" s="7"/>
      <c r="D181" s="8"/>
      <c r="E181" s="33" t="s">
        <v>81</v>
      </c>
      <c r="F181" s="87">
        <v>-3000</v>
      </c>
      <c r="G181" s="87">
        <v>-3000</v>
      </c>
      <c r="H181" s="87">
        <v>-3000</v>
      </c>
      <c r="I181" s="87">
        <v>-3000</v>
      </c>
      <c r="J181" s="85">
        <v>-3000</v>
      </c>
      <c r="K181" s="85">
        <v>-3000</v>
      </c>
      <c r="L181" s="85">
        <v>-3000</v>
      </c>
      <c r="M181" s="85">
        <v>-3000</v>
      </c>
      <c r="N181" s="263">
        <f t="shared" si="92"/>
        <v>0</v>
      </c>
      <c r="O181" s="263">
        <f t="shared" si="93"/>
        <v>0</v>
      </c>
      <c r="P181" s="263">
        <f t="shared" si="94"/>
        <v>0</v>
      </c>
      <c r="Q181" s="263">
        <f t="shared" si="95"/>
        <v>0</v>
      </c>
    </row>
    <row r="182" spans="1:17" ht="49.5" x14ac:dyDescent="0.25">
      <c r="A182" s="7"/>
      <c r="B182" s="7"/>
      <c r="C182" s="7"/>
      <c r="D182" s="7"/>
      <c r="E182" s="27" t="s">
        <v>48</v>
      </c>
      <c r="F182" s="87">
        <v>-2087.5</v>
      </c>
      <c r="G182" s="87">
        <v>-2087.5</v>
      </c>
      <c r="H182" s="87">
        <v>-2087.5</v>
      </c>
      <c r="I182" s="87">
        <v>-2087.5</v>
      </c>
      <c r="J182" s="43">
        <f t="shared" ref="J182:L182" si="96">J183+J184</f>
        <v>0</v>
      </c>
      <c r="K182" s="43">
        <f t="shared" si="96"/>
        <v>0</v>
      </c>
      <c r="L182" s="43">
        <f t="shared" si="96"/>
        <v>0</v>
      </c>
      <c r="M182" s="43">
        <f t="shared" ref="M182" si="97">M183+M184</f>
        <v>0</v>
      </c>
      <c r="N182" s="263">
        <f t="shared" si="92"/>
        <v>-2087.5</v>
      </c>
      <c r="O182" s="263">
        <f t="shared" si="93"/>
        <v>-2087.5</v>
      </c>
      <c r="P182" s="263">
        <f t="shared" si="94"/>
        <v>-2087.5</v>
      </c>
      <c r="Q182" s="263">
        <f t="shared" si="95"/>
        <v>-2087.5</v>
      </c>
    </row>
    <row r="183" spans="1:17" ht="33" x14ac:dyDescent="0.25">
      <c r="A183" s="8"/>
      <c r="B183" s="8"/>
      <c r="C183" s="8"/>
      <c r="D183" s="24"/>
      <c r="E183" s="33" t="s">
        <v>49</v>
      </c>
      <c r="F183" s="87">
        <v>-1394.5</v>
      </c>
      <c r="G183" s="87">
        <v>-1394.5</v>
      </c>
      <c r="H183" s="87">
        <v>-1394.5</v>
      </c>
      <c r="I183" s="87">
        <v>-1394.5</v>
      </c>
      <c r="J183" s="43"/>
      <c r="K183" s="43"/>
      <c r="L183" s="43"/>
      <c r="M183" s="43"/>
      <c r="N183" s="263">
        <f t="shared" si="92"/>
        <v>-1394.5</v>
      </c>
      <c r="O183" s="263">
        <f t="shared" si="93"/>
        <v>-1394.5</v>
      </c>
      <c r="P183" s="263">
        <f t="shared" si="94"/>
        <v>-1394.5</v>
      </c>
      <c r="Q183" s="263">
        <f t="shared" si="95"/>
        <v>-1394.5</v>
      </c>
    </row>
    <row r="184" spans="1:17" ht="33" x14ac:dyDescent="0.25">
      <c r="A184" s="8"/>
      <c r="B184" s="8"/>
      <c r="C184" s="8"/>
      <c r="D184" s="24"/>
      <c r="E184" s="33" t="s">
        <v>50</v>
      </c>
      <c r="F184" s="87">
        <v>-693</v>
      </c>
      <c r="G184" s="87">
        <v>-693</v>
      </c>
      <c r="H184" s="87">
        <v>-693</v>
      </c>
      <c r="I184" s="87">
        <v>-693</v>
      </c>
      <c r="J184" s="43"/>
      <c r="K184" s="43"/>
      <c r="L184" s="43"/>
      <c r="M184" s="43"/>
      <c r="N184" s="263">
        <f t="shared" si="92"/>
        <v>-693</v>
      </c>
      <c r="O184" s="263">
        <f t="shared" si="93"/>
        <v>-693</v>
      </c>
      <c r="P184" s="263">
        <f t="shared" si="94"/>
        <v>-693</v>
      </c>
      <c r="Q184" s="263">
        <f t="shared" si="95"/>
        <v>-693</v>
      </c>
    </row>
    <row r="185" spans="1:17" ht="99" x14ac:dyDescent="0.25">
      <c r="A185" s="7"/>
      <c r="B185" s="7"/>
      <c r="C185" s="7"/>
      <c r="D185" s="7"/>
      <c r="E185" s="27" t="s">
        <v>51</v>
      </c>
      <c r="F185" s="87">
        <v>22000</v>
      </c>
      <c r="G185" s="87">
        <v>45100</v>
      </c>
      <c r="H185" s="87">
        <v>72400</v>
      </c>
      <c r="I185" s="87">
        <v>99630</v>
      </c>
      <c r="J185" s="43">
        <f t="shared" ref="J185:L185" si="98">800-1000</f>
        <v>-200</v>
      </c>
      <c r="K185" s="43">
        <f t="shared" si="98"/>
        <v>-200</v>
      </c>
      <c r="L185" s="43">
        <f t="shared" si="98"/>
        <v>-200</v>
      </c>
      <c r="M185" s="43">
        <f>800-1000</f>
        <v>-200</v>
      </c>
      <c r="N185" s="263">
        <f t="shared" si="92"/>
        <v>22200</v>
      </c>
      <c r="O185" s="263">
        <f t="shared" si="93"/>
        <v>45300</v>
      </c>
      <c r="P185" s="263">
        <f t="shared" si="94"/>
        <v>72600</v>
      </c>
      <c r="Q185" s="263">
        <f t="shared" si="95"/>
        <v>99830</v>
      </c>
    </row>
    <row r="186" spans="1:17" ht="82.5" x14ac:dyDescent="0.25">
      <c r="A186" s="7"/>
      <c r="B186" s="7"/>
      <c r="C186" s="7"/>
      <c r="D186" s="7"/>
      <c r="E186" s="27" t="s">
        <v>52</v>
      </c>
      <c r="F186" s="87">
        <v>12620</v>
      </c>
      <c r="G186" s="87">
        <v>25920</v>
      </c>
      <c r="H186" s="87">
        <v>41920</v>
      </c>
      <c r="I186" s="87">
        <v>57120</v>
      </c>
      <c r="J186" s="43">
        <f t="shared" ref="J186:L186" si="99">720-800</f>
        <v>-80</v>
      </c>
      <c r="K186" s="43">
        <f t="shared" si="99"/>
        <v>-80</v>
      </c>
      <c r="L186" s="43">
        <f t="shared" si="99"/>
        <v>-80</v>
      </c>
      <c r="M186" s="43">
        <f>720-800</f>
        <v>-80</v>
      </c>
      <c r="N186" s="263">
        <f t="shared" si="92"/>
        <v>12700</v>
      </c>
      <c r="O186" s="263">
        <f t="shared" si="93"/>
        <v>26000</v>
      </c>
      <c r="P186" s="263">
        <f t="shared" si="94"/>
        <v>42000</v>
      </c>
      <c r="Q186" s="263">
        <f t="shared" si="95"/>
        <v>57200</v>
      </c>
    </row>
    <row r="187" spans="1:17" ht="66" x14ac:dyDescent="0.25">
      <c r="A187" s="7"/>
      <c r="B187" s="7"/>
      <c r="C187" s="7"/>
      <c r="D187" s="7"/>
      <c r="E187" s="27" t="s">
        <v>53</v>
      </c>
      <c r="F187" s="87">
        <v>5140</v>
      </c>
      <c r="G187" s="87">
        <v>10440</v>
      </c>
      <c r="H187" s="87">
        <v>16640</v>
      </c>
      <c r="I187" s="87">
        <v>22820</v>
      </c>
      <c r="J187" s="43">
        <f t="shared" ref="J187:L187" si="100">940-800</f>
        <v>140</v>
      </c>
      <c r="K187" s="43">
        <f t="shared" si="100"/>
        <v>140</v>
      </c>
      <c r="L187" s="43">
        <f t="shared" si="100"/>
        <v>140</v>
      </c>
      <c r="M187" s="43">
        <f>940-800</f>
        <v>140</v>
      </c>
      <c r="N187" s="263">
        <f t="shared" si="92"/>
        <v>5000</v>
      </c>
      <c r="O187" s="263">
        <f t="shared" si="93"/>
        <v>10300</v>
      </c>
      <c r="P187" s="263">
        <f t="shared" si="94"/>
        <v>16500</v>
      </c>
      <c r="Q187" s="263">
        <f t="shared" si="95"/>
        <v>22680</v>
      </c>
    </row>
    <row r="188" spans="1:17" ht="115.5" x14ac:dyDescent="0.25">
      <c r="A188" s="7"/>
      <c r="B188" s="7"/>
      <c r="C188" s="7"/>
      <c r="D188" s="7"/>
      <c r="E188" s="27" t="s">
        <v>82</v>
      </c>
      <c r="F188" s="87">
        <v>5110</v>
      </c>
      <c r="G188" s="87">
        <v>10510</v>
      </c>
      <c r="H188" s="87">
        <v>16910</v>
      </c>
      <c r="I188" s="87">
        <v>23350</v>
      </c>
      <c r="J188" s="43">
        <f t="shared" ref="J188:L188" si="101">510-600</f>
        <v>-90</v>
      </c>
      <c r="K188" s="43">
        <f t="shared" si="101"/>
        <v>-90</v>
      </c>
      <c r="L188" s="43">
        <f t="shared" si="101"/>
        <v>-90</v>
      </c>
      <c r="M188" s="43">
        <f>510-600</f>
        <v>-90</v>
      </c>
      <c r="N188" s="263">
        <f t="shared" si="92"/>
        <v>5200</v>
      </c>
      <c r="O188" s="263">
        <f t="shared" si="93"/>
        <v>10600</v>
      </c>
      <c r="P188" s="263">
        <f t="shared" si="94"/>
        <v>17000</v>
      </c>
      <c r="Q188" s="263">
        <f t="shared" si="95"/>
        <v>23440</v>
      </c>
    </row>
    <row r="189" spans="1:17" ht="99" x14ac:dyDescent="0.25">
      <c r="A189" s="7"/>
      <c r="B189" s="7"/>
      <c r="C189" s="7"/>
      <c r="D189" s="7"/>
      <c r="E189" s="27" t="s">
        <v>54</v>
      </c>
      <c r="F189" s="87">
        <v>3390</v>
      </c>
      <c r="G189" s="87">
        <v>6990</v>
      </c>
      <c r="H189" s="87">
        <v>11590</v>
      </c>
      <c r="I189" s="87">
        <v>15630</v>
      </c>
      <c r="J189" s="43">
        <f t="shared" ref="J189:L189" si="102">690-800</f>
        <v>-110</v>
      </c>
      <c r="K189" s="43">
        <f t="shared" si="102"/>
        <v>-110</v>
      </c>
      <c r="L189" s="43">
        <f t="shared" si="102"/>
        <v>-110</v>
      </c>
      <c r="M189" s="43">
        <f>690-800</f>
        <v>-110</v>
      </c>
      <c r="N189" s="263">
        <f t="shared" si="92"/>
        <v>3500</v>
      </c>
      <c r="O189" s="263">
        <f t="shared" si="93"/>
        <v>7100</v>
      </c>
      <c r="P189" s="263">
        <f t="shared" si="94"/>
        <v>11700</v>
      </c>
      <c r="Q189" s="263">
        <f t="shared" si="95"/>
        <v>15740</v>
      </c>
    </row>
    <row r="190" spans="1:17" ht="115.5" x14ac:dyDescent="0.25">
      <c r="A190" s="7"/>
      <c r="B190" s="7"/>
      <c r="C190" s="7"/>
      <c r="D190" s="7"/>
      <c r="E190" s="27" t="s">
        <v>55</v>
      </c>
      <c r="F190" s="87">
        <v>5510</v>
      </c>
      <c r="G190" s="87">
        <v>11310</v>
      </c>
      <c r="H190" s="87">
        <v>18210</v>
      </c>
      <c r="I190" s="87">
        <v>25030</v>
      </c>
      <c r="J190" s="43">
        <f t="shared" ref="J190:L190" si="103">510-600</f>
        <v>-90</v>
      </c>
      <c r="K190" s="43">
        <f t="shared" si="103"/>
        <v>-90</v>
      </c>
      <c r="L190" s="43">
        <f t="shared" si="103"/>
        <v>-90</v>
      </c>
      <c r="M190" s="43">
        <f>510-600</f>
        <v>-90</v>
      </c>
      <c r="N190" s="263">
        <f t="shared" si="92"/>
        <v>5600</v>
      </c>
      <c r="O190" s="263">
        <f t="shared" si="93"/>
        <v>11400</v>
      </c>
      <c r="P190" s="263">
        <f t="shared" si="94"/>
        <v>18300</v>
      </c>
      <c r="Q190" s="263">
        <f t="shared" si="95"/>
        <v>25120</v>
      </c>
    </row>
    <row r="191" spans="1:17" ht="66" x14ac:dyDescent="0.25">
      <c r="A191" s="7"/>
      <c r="B191" s="7"/>
      <c r="C191" s="7"/>
      <c r="D191" s="7"/>
      <c r="E191" s="27" t="s">
        <v>56</v>
      </c>
      <c r="F191" s="87">
        <v>12940</v>
      </c>
      <c r="G191" s="87">
        <v>27140</v>
      </c>
      <c r="H191" s="87">
        <v>43540</v>
      </c>
      <c r="I191" s="87">
        <v>59800</v>
      </c>
      <c r="J191" s="43">
        <f t="shared" ref="J191:L191" si="104">1140-1200</f>
        <v>-60</v>
      </c>
      <c r="K191" s="43">
        <f t="shared" si="104"/>
        <v>-60</v>
      </c>
      <c r="L191" s="43">
        <f t="shared" si="104"/>
        <v>-60</v>
      </c>
      <c r="M191" s="43">
        <f>1140-1200</f>
        <v>-60</v>
      </c>
      <c r="N191" s="263">
        <f t="shared" si="92"/>
        <v>13000</v>
      </c>
      <c r="O191" s="263">
        <f t="shared" si="93"/>
        <v>27200</v>
      </c>
      <c r="P191" s="263">
        <f t="shared" si="94"/>
        <v>43600</v>
      </c>
      <c r="Q191" s="263">
        <f t="shared" si="95"/>
        <v>59860</v>
      </c>
    </row>
    <row r="192" spans="1:17" ht="66" x14ac:dyDescent="0.25">
      <c r="A192" s="7"/>
      <c r="B192" s="7"/>
      <c r="C192" s="7"/>
      <c r="D192" s="7"/>
      <c r="E192" s="27" t="s">
        <v>126</v>
      </c>
      <c r="F192" s="87">
        <v>7560</v>
      </c>
      <c r="G192" s="87">
        <v>7560</v>
      </c>
      <c r="H192" s="87">
        <v>7560</v>
      </c>
      <c r="I192" s="87">
        <v>7560</v>
      </c>
      <c r="J192" s="43"/>
      <c r="K192" s="43"/>
      <c r="L192" s="43"/>
      <c r="M192" s="43"/>
      <c r="N192" s="263">
        <f>SUM(F192-J192)</f>
        <v>7560</v>
      </c>
      <c r="O192" s="263">
        <f t="shared" si="93"/>
        <v>7560</v>
      </c>
      <c r="P192" s="263">
        <f t="shared" si="94"/>
        <v>7560</v>
      </c>
      <c r="Q192" s="263">
        <f t="shared" si="95"/>
        <v>7560</v>
      </c>
    </row>
    <row r="193" spans="1:17" ht="66" x14ac:dyDescent="0.25">
      <c r="A193" s="7"/>
      <c r="B193" s="7"/>
      <c r="C193" s="7"/>
      <c r="D193" s="7"/>
      <c r="E193" s="27" t="s">
        <v>124</v>
      </c>
      <c r="F193" s="87">
        <f>SUM(F194+F197+F198+F199+F200+F201+F202+F203+F204)</f>
        <v>70</v>
      </c>
      <c r="G193" s="87">
        <f t="shared" ref="G193:I193" si="105">SUM(G194+G197+G198+G199+G200+G201+G202+G203+G204)</f>
        <v>2100</v>
      </c>
      <c r="H193" s="87">
        <f t="shared" si="105"/>
        <v>2100</v>
      </c>
      <c r="I193" s="87">
        <f t="shared" si="105"/>
        <v>2300</v>
      </c>
      <c r="N193" s="89"/>
      <c r="O193" s="89"/>
      <c r="P193" s="89"/>
      <c r="Q193" s="89"/>
    </row>
    <row r="194" spans="1:17" ht="49.5" x14ac:dyDescent="0.25">
      <c r="A194" s="7"/>
      <c r="B194" s="7"/>
      <c r="C194" s="7"/>
      <c r="D194" s="7"/>
      <c r="E194" s="27" t="s">
        <v>48</v>
      </c>
      <c r="F194" s="87">
        <f>SUM(F195:F196)</f>
        <v>70</v>
      </c>
      <c r="G194" s="87">
        <f t="shared" ref="G194:I194" si="106">SUM(G195:G196)</f>
        <v>70</v>
      </c>
      <c r="H194" s="87">
        <f t="shared" si="106"/>
        <v>70</v>
      </c>
      <c r="I194" s="87">
        <f t="shared" si="106"/>
        <v>70</v>
      </c>
      <c r="N194" s="89"/>
      <c r="O194" s="89"/>
      <c r="P194" s="89"/>
      <c r="Q194" s="89"/>
    </row>
    <row r="195" spans="1:17" ht="33" x14ac:dyDescent="0.25">
      <c r="A195" s="8"/>
      <c r="B195" s="8"/>
      <c r="C195" s="8"/>
      <c r="D195" s="24"/>
      <c r="E195" s="33" t="s">
        <v>49</v>
      </c>
      <c r="F195" s="87">
        <v>20</v>
      </c>
      <c r="G195" s="87">
        <v>20</v>
      </c>
      <c r="H195" s="87">
        <v>20</v>
      </c>
      <c r="I195" s="87">
        <v>20</v>
      </c>
      <c r="N195" s="89"/>
      <c r="O195" s="89"/>
      <c r="P195" s="89"/>
      <c r="Q195" s="89"/>
    </row>
    <row r="196" spans="1:17" ht="33" x14ac:dyDescent="0.25">
      <c r="A196" s="8"/>
      <c r="B196" s="8"/>
      <c r="C196" s="8"/>
      <c r="D196" s="24"/>
      <c r="E196" s="33" t="s">
        <v>50</v>
      </c>
      <c r="F196" s="87">
        <v>50</v>
      </c>
      <c r="G196" s="87">
        <v>50</v>
      </c>
      <c r="H196" s="87">
        <v>50</v>
      </c>
      <c r="I196" s="87">
        <v>50</v>
      </c>
      <c r="N196" s="89"/>
      <c r="O196" s="89"/>
      <c r="P196" s="89"/>
      <c r="Q196" s="89"/>
    </row>
    <row r="197" spans="1:17" ht="99" x14ac:dyDescent="0.25">
      <c r="A197" s="7"/>
      <c r="B197" s="7"/>
      <c r="C197" s="7"/>
      <c r="D197" s="7"/>
      <c r="E197" s="27" t="s">
        <v>51</v>
      </c>
      <c r="F197" s="87">
        <v>0</v>
      </c>
      <c r="G197" s="87">
        <v>100</v>
      </c>
      <c r="H197" s="87">
        <v>100</v>
      </c>
      <c r="I197" s="87">
        <v>100</v>
      </c>
      <c r="N197" s="89"/>
      <c r="O197" s="89"/>
      <c r="P197" s="89"/>
      <c r="Q197" s="89"/>
    </row>
    <row r="198" spans="1:17" ht="82.5" x14ac:dyDescent="0.25">
      <c r="A198" s="7"/>
      <c r="B198" s="7"/>
      <c r="C198" s="7"/>
      <c r="D198" s="7"/>
      <c r="E198" s="27" t="s">
        <v>52</v>
      </c>
      <c r="F198" s="87">
        <v>0</v>
      </c>
      <c r="G198" s="87">
        <v>570</v>
      </c>
      <c r="H198" s="87">
        <v>570</v>
      </c>
      <c r="I198" s="87">
        <v>570</v>
      </c>
      <c r="N198" s="89"/>
      <c r="O198" s="89"/>
      <c r="P198" s="89"/>
      <c r="Q198" s="89"/>
    </row>
    <row r="199" spans="1:17" ht="66" x14ac:dyDescent="0.25">
      <c r="A199" s="7"/>
      <c r="B199" s="7"/>
      <c r="C199" s="7"/>
      <c r="D199" s="7"/>
      <c r="E199" s="27" t="s">
        <v>53</v>
      </c>
      <c r="F199" s="87">
        <v>0</v>
      </c>
      <c r="G199" s="87">
        <v>230</v>
      </c>
      <c r="H199" s="87">
        <v>230</v>
      </c>
      <c r="I199" s="87">
        <v>230</v>
      </c>
      <c r="N199" s="89"/>
      <c r="O199" s="89"/>
      <c r="P199" s="89"/>
      <c r="Q199" s="89"/>
    </row>
    <row r="200" spans="1:17" ht="115.5" x14ac:dyDescent="0.25">
      <c r="A200" s="7"/>
      <c r="B200" s="7"/>
      <c r="C200" s="7"/>
      <c r="D200" s="7"/>
      <c r="E200" s="27" t="s">
        <v>82</v>
      </c>
      <c r="F200" s="87">
        <v>0</v>
      </c>
      <c r="G200" s="87">
        <v>240</v>
      </c>
      <c r="H200" s="87">
        <v>240</v>
      </c>
      <c r="I200" s="87">
        <v>240</v>
      </c>
      <c r="N200" s="89"/>
      <c r="O200" s="89"/>
      <c r="P200" s="89"/>
      <c r="Q200" s="89"/>
    </row>
    <row r="201" spans="1:17" ht="99" x14ac:dyDescent="0.25">
      <c r="A201" s="7"/>
      <c r="B201" s="7"/>
      <c r="C201" s="7"/>
      <c r="D201" s="7"/>
      <c r="E201" s="27" t="s">
        <v>54</v>
      </c>
      <c r="F201" s="87">
        <v>0</v>
      </c>
      <c r="G201" s="87">
        <v>160</v>
      </c>
      <c r="H201" s="87">
        <v>160</v>
      </c>
      <c r="I201" s="87">
        <v>160</v>
      </c>
      <c r="N201" s="89"/>
      <c r="O201" s="89"/>
      <c r="P201" s="89"/>
      <c r="Q201" s="89"/>
    </row>
    <row r="202" spans="1:17" ht="115.5" x14ac:dyDescent="0.25">
      <c r="A202" s="7"/>
      <c r="B202" s="7"/>
      <c r="C202" s="7"/>
      <c r="D202" s="7"/>
      <c r="E202" s="27" t="s">
        <v>55</v>
      </c>
      <c r="F202" s="87">
        <v>0</v>
      </c>
      <c r="G202" s="87">
        <v>250</v>
      </c>
      <c r="H202" s="87">
        <v>250</v>
      </c>
      <c r="I202" s="87">
        <v>250</v>
      </c>
    </row>
    <row r="203" spans="1:17" ht="66" x14ac:dyDescent="0.25">
      <c r="A203" s="7"/>
      <c r="B203" s="7"/>
      <c r="C203" s="7"/>
      <c r="D203" s="7"/>
      <c r="E203" s="27" t="s">
        <v>56</v>
      </c>
      <c r="F203" s="87">
        <v>0</v>
      </c>
      <c r="G203" s="87">
        <v>400</v>
      </c>
      <c r="H203" s="87">
        <v>400</v>
      </c>
      <c r="I203" s="87">
        <v>600</v>
      </c>
    </row>
    <row r="204" spans="1:17" ht="66" x14ac:dyDescent="0.25">
      <c r="A204" s="7"/>
      <c r="B204" s="7"/>
      <c r="C204" s="7"/>
      <c r="D204" s="7"/>
      <c r="E204" s="27" t="s">
        <v>126</v>
      </c>
      <c r="F204" s="87">
        <v>0</v>
      </c>
      <c r="G204" s="87">
        <v>80</v>
      </c>
      <c r="H204" s="87">
        <v>80</v>
      </c>
      <c r="I204" s="87">
        <v>80</v>
      </c>
    </row>
    <row r="205" spans="1:17" ht="66" x14ac:dyDescent="0.25">
      <c r="A205" s="7"/>
      <c r="B205" s="7"/>
      <c r="C205" s="7"/>
      <c r="D205" s="7"/>
      <c r="E205" s="27" t="s">
        <v>125</v>
      </c>
      <c r="F205" s="87">
        <f>SUM(F206+F209+F210+F211+F212+F213+F214+F215+F216)</f>
        <v>0</v>
      </c>
      <c r="G205" s="87">
        <f t="shared" ref="G205:I205" si="107">SUM(G206+G209+G210+G211+G212+G213+G214+G215+G216)</f>
        <v>430</v>
      </c>
      <c r="H205" s="87">
        <f t="shared" si="107"/>
        <v>2310</v>
      </c>
      <c r="I205" s="87">
        <f t="shared" si="107"/>
        <v>2310</v>
      </c>
    </row>
    <row r="206" spans="1:17" ht="49.5" x14ac:dyDescent="0.25">
      <c r="A206" s="7"/>
      <c r="B206" s="7"/>
      <c r="C206" s="7"/>
      <c r="D206" s="7"/>
      <c r="E206" s="27" t="s">
        <v>48</v>
      </c>
      <c r="F206" s="87">
        <f>SUM(F207:F208)</f>
        <v>0</v>
      </c>
      <c r="G206" s="87">
        <f t="shared" ref="G206:I206" si="108">SUM(G207:G208)</f>
        <v>430</v>
      </c>
      <c r="H206" s="87">
        <f t="shared" si="108"/>
        <v>430</v>
      </c>
      <c r="I206" s="87">
        <f t="shared" si="108"/>
        <v>430</v>
      </c>
    </row>
    <row r="207" spans="1:17" ht="33" x14ac:dyDescent="0.25">
      <c r="A207" s="8"/>
      <c r="B207" s="8"/>
      <c r="C207" s="8"/>
      <c r="D207" s="24"/>
      <c r="E207" s="33" t="s">
        <v>49</v>
      </c>
      <c r="F207" s="87">
        <v>0</v>
      </c>
      <c r="G207" s="87">
        <v>270</v>
      </c>
      <c r="H207" s="87">
        <v>270</v>
      </c>
      <c r="I207" s="87">
        <v>270</v>
      </c>
    </row>
    <row r="208" spans="1:17" ht="33" x14ac:dyDescent="0.25">
      <c r="A208" s="8"/>
      <c r="B208" s="8"/>
      <c r="C208" s="8"/>
      <c r="D208" s="24"/>
      <c r="E208" s="33" t="s">
        <v>50</v>
      </c>
      <c r="F208" s="87">
        <v>0</v>
      </c>
      <c r="G208" s="87">
        <v>160</v>
      </c>
      <c r="H208" s="87">
        <v>160</v>
      </c>
      <c r="I208" s="87">
        <v>160</v>
      </c>
    </row>
    <row r="209" spans="1:9" ht="99" x14ac:dyDescent="0.25">
      <c r="A209" s="7"/>
      <c r="B209" s="7"/>
      <c r="C209" s="7"/>
      <c r="D209" s="7"/>
      <c r="E209" s="27" t="s">
        <v>51</v>
      </c>
      <c r="F209" s="87">
        <v>0</v>
      </c>
      <c r="G209" s="87">
        <v>0</v>
      </c>
      <c r="H209" s="87">
        <v>600</v>
      </c>
      <c r="I209" s="87">
        <v>600</v>
      </c>
    </row>
    <row r="210" spans="1:9" ht="82.5" x14ac:dyDescent="0.25">
      <c r="A210" s="7"/>
      <c r="B210" s="7"/>
      <c r="C210" s="7"/>
      <c r="D210" s="7"/>
      <c r="E210" s="27" t="s">
        <v>52</v>
      </c>
      <c r="F210" s="87">
        <v>0</v>
      </c>
      <c r="G210" s="87">
        <v>0</v>
      </c>
      <c r="H210" s="87">
        <v>340</v>
      </c>
      <c r="I210" s="87">
        <v>340</v>
      </c>
    </row>
    <row r="211" spans="1:9" ht="66" x14ac:dyDescent="0.25">
      <c r="A211" s="7"/>
      <c r="B211" s="7"/>
      <c r="C211" s="7"/>
      <c r="D211" s="7"/>
      <c r="E211" s="27" t="s">
        <v>53</v>
      </c>
      <c r="F211" s="87">
        <v>0</v>
      </c>
      <c r="G211" s="87">
        <v>0</v>
      </c>
      <c r="H211" s="87">
        <v>140</v>
      </c>
      <c r="I211" s="87">
        <v>140</v>
      </c>
    </row>
    <row r="212" spans="1:9" ht="115.5" x14ac:dyDescent="0.25">
      <c r="A212" s="7"/>
      <c r="B212" s="7"/>
      <c r="C212" s="7"/>
      <c r="D212" s="7"/>
      <c r="E212" s="27" t="s">
        <v>82</v>
      </c>
      <c r="F212" s="87">
        <v>0</v>
      </c>
      <c r="G212" s="87">
        <v>0</v>
      </c>
      <c r="H212" s="87">
        <v>140</v>
      </c>
      <c r="I212" s="87">
        <v>140</v>
      </c>
    </row>
    <row r="213" spans="1:9" ht="99" x14ac:dyDescent="0.25">
      <c r="A213" s="7"/>
      <c r="B213" s="7"/>
      <c r="C213" s="7"/>
      <c r="D213" s="7"/>
      <c r="E213" s="27" t="s">
        <v>54</v>
      </c>
      <c r="F213" s="87">
        <v>0</v>
      </c>
      <c r="G213" s="87">
        <v>0</v>
      </c>
      <c r="H213" s="87">
        <v>100</v>
      </c>
      <c r="I213" s="87">
        <v>100</v>
      </c>
    </row>
    <row r="214" spans="1:9" ht="115.5" x14ac:dyDescent="0.25">
      <c r="A214" s="7"/>
      <c r="B214" s="7"/>
      <c r="C214" s="7"/>
      <c r="D214" s="7"/>
      <c r="E214" s="27" t="s">
        <v>55</v>
      </c>
      <c r="F214" s="87">
        <v>0</v>
      </c>
      <c r="G214" s="87">
        <v>0</v>
      </c>
      <c r="H214" s="87">
        <v>150</v>
      </c>
      <c r="I214" s="87">
        <v>150</v>
      </c>
    </row>
    <row r="215" spans="1:9" ht="66" x14ac:dyDescent="0.25">
      <c r="A215" s="7"/>
      <c r="B215" s="7"/>
      <c r="C215" s="7"/>
      <c r="D215" s="7"/>
      <c r="E215" s="27" t="s">
        <v>56</v>
      </c>
      <c r="F215" s="87">
        <v>0</v>
      </c>
      <c r="G215" s="87">
        <v>0</v>
      </c>
      <c r="H215" s="87">
        <v>360</v>
      </c>
      <c r="I215" s="87">
        <v>360</v>
      </c>
    </row>
    <row r="216" spans="1:9" ht="66" x14ac:dyDescent="0.25">
      <c r="A216" s="7"/>
      <c r="B216" s="7"/>
      <c r="C216" s="7"/>
      <c r="D216" s="7"/>
      <c r="E216" s="27" t="s">
        <v>126</v>
      </c>
      <c r="F216" s="87">
        <v>0</v>
      </c>
      <c r="G216" s="87">
        <v>0</v>
      </c>
      <c r="H216" s="87">
        <v>50</v>
      </c>
      <c r="I216" s="87">
        <v>50</v>
      </c>
    </row>
    <row r="217" spans="1:9" ht="115.5" x14ac:dyDescent="0.25">
      <c r="A217" s="7"/>
      <c r="B217" s="7"/>
      <c r="C217" s="7"/>
      <c r="D217" s="7"/>
      <c r="E217" s="51" t="s">
        <v>153</v>
      </c>
      <c r="F217" s="87">
        <f>SUM(F218+F220+F222+F224)</f>
        <v>0</v>
      </c>
      <c r="G217" s="87">
        <f t="shared" ref="G217:I217" si="109">SUM(G218+G220+G222+G224)</f>
        <v>15000</v>
      </c>
      <c r="H217" s="87">
        <f t="shared" si="109"/>
        <v>32520</v>
      </c>
      <c r="I217" s="87">
        <f t="shared" si="109"/>
        <v>32520</v>
      </c>
    </row>
    <row r="218" spans="1:9" ht="33" x14ac:dyDescent="0.25">
      <c r="A218" s="7"/>
      <c r="B218" s="7"/>
      <c r="C218" s="7"/>
      <c r="D218" s="7"/>
      <c r="E218" s="34" t="s">
        <v>146</v>
      </c>
      <c r="F218" s="87">
        <f>SUM(F219)</f>
        <v>0</v>
      </c>
      <c r="G218" s="87">
        <f t="shared" ref="G218:I218" si="110">SUM(G219)</f>
        <v>0</v>
      </c>
      <c r="H218" s="87">
        <f t="shared" si="110"/>
        <v>1900</v>
      </c>
      <c r="I218" s="87">
        <f t="shared" si="110"/>
        <v>1900</v>
      </c>
    </row>
    <row r="219" spans="1:9" x14ac:dyDescent="0.25">
      <c r="A219" s="7"/>
      <c r="B219" s="7"/>
      <c r="C219" s="7"/>
      <c r="D219" s="7"/>
      <c r="E219" s="52" t="s">
        <v>147</v>
      </c>
      <c r="F219" s="87"/>
      <c r="G219" s="87"/>
      <c r="H219" s="87">
        <v>1900</v>
      </c>
      <c r="I219" s="87">
        <v>1900</v>
      </c>
    </row>
    <row r="220" spans="1:9" ht="33" x14ac:dyDescent="0.25">
      <c r="A220" s="7"/>
      <c r="B220" s="7"/>
      <c r="C220" s="7"/>
      <c r="D220" s="7"/>
      <c r="E220" s="34" t="s">
        <v>148</v>
      </c>
      <c r="F220" s="87">
        <f>SUM(F221)</f>
        <v>0</v>
      </c>
      <c r="G220" s="87">
        <f t="shared" ref="G220:I220" si="111">SUM(G221)</f>
        <v>0</v>
      </c>
      <c r="H220" s="87">
        <f t="shared" si="111"/>
        <v>500</v>
      </c>
      <c r="I220" s="87">
        <f t="shared" si="111"/>
        <v>500</v>
      </c>
    </row>
    <row r="221" spans="1:9" ht="33" x14ac:dyDescent="0.25">
      <c r="A221" s="7"/>
      <c r="B221" s="7"/>
      <c r="C221" s="7"/>
      <c r="D221" s="7"/>
      <c r="E221" s="53" t="s">
        <v>149</v>
      </c>
      <c r="F221" s="87"/>
      <c r="G221" s="87"/>
      <c r="H221" s="87">
        <v>500</v>
      </c>
      <c r="I221" s="87">
        <v>500</v>
      </c>
    </row>
    <row r="222" spans="1:9" x14ac:dyDescent="0.25">
      <c r="A222" s="7"/>
      <c r="B222" s="7"/>
      <c r="C222" s="7"/>
      <c r="D222" s="7"/>
      <c r="E222" s="54" t="s">
        <v>150</v>
      </c>
      <c r="F222" s="87">
        <f>SUM(F223)</f>
        <v>0</v>
      </c>
      <c r="G222" s="87">
        <f t="shared" ref="G222:I222" si="112">SUM(G223)</f>
        <v>0</v>
      </c>
      <c r="H222" s="87">
        <f t="shared" si="112"/>
        <v>120</v>
      </c>
      <c r="I222" s="87">
        <f t="shared" si="112"/>
        <v>120</v>
      </c>
    </row>
    <row r="223" spans="1:9" ht="33" x14ac:dyDescent="0.25">
      <c r="A223" s="7"/>
      <c r="B223" s="7"/>
      <c r="C223" s="7"/>
      <c r="D223" s="7"/>
      <c r="E223" s="55" t="s">
        <v>151</v>
      </c>
      <c r="F223" s="87"/>
      <c r="G223" s="87"/>
      <c r="H223" s="87">
        <v>120</v>
      </c>
      <c r="I223" s="87">
        <v>120</v>
      </c>
    </row>
    <row r="224" spans="1:9" ht="313.5" x14ac:dyDescent="0.25">
      <c r="A224" s="7"/>
      <c r="B224" s="7"/>
      <c r="C224" s="7"/>
      <c r="D224" s="7"/>
      <c r="E224" s="56" t="s">
        <v>152</v>
      </c>
      <c r="F224" s="87"/>
      <c r="G224" s="87">
        <v>15000</v>
      </c>
      <c r="H224" s="87">
        <v>30000</v>
      </c>
      <c r="I224" s="87">
        <v>30000</v>
      </c>
    </row>
    <row r="225" spans="1:9" x14ac:dyDescent="0.25">
      <c r="A225" s="7"/>
      <c r="B225" s="7"/>
      <c r="C225" s="7"/>
      <c r="D225" s="8"/>
      <c r="E225" s="20" t="s">
        <v>58</v>
      </c>
      <c r="F225" s="87">
        <f>SUM(F227)</f>
        <v>-1176067</v>
      </c>
      <c r="G225" s="87">
        <f t="shared" ref="G225:H225" si="113">SUM(G227)</f>
        <v>-2352134.1</v>
      </c>
      <c r="H225" s="87">
        <f t="shared" si="113"/>
        <v>-4116234.7</v>
      </c>
      <c r="I225" s="87">
        <v>-5880335.2999999998</v>
      </c>
    </row>
    <row r="226" spans="1:9" x14ac:dyDescent="0.25">
      <c r="A226" s="7"/>
      <c r="B226" s="7"/>
      <c r="C226" s="7"/>
      <c r="D226" s="8"/>
      <c r="E226" s="22" t="s">
        <v>73</v>
      </c>
      <c r="F226" s="87"/>
      <c r="G226" s="87"/>
      <c r="H226" s="87"/>
      <c r="I226" s="87"/>
    </row>
    <row r="227" spans="1:9" ht="66" x14ac:dyDescent="0.25">
      <c r="A227" s="7" t="s">
        <v>10</v>
      </c>
      <c r="B227" s="7" t="s">
        <v>11</v>
      </c>
      <c r="C227" s="7" t="s">
        <v>12</v>
      </c>
      <c r="D227" s="24" t="s">
        <v>12</v>
      </c>
      <c r="E227" s="25" t="s">
        <v>59</v>
      </c>
      <c r="F227" s="87">
        <v>-1176067</v>
      </c>
      <c r="G227" s="87">
        <v>-2352134.1</v>
      </c>
      <c r="H227" s="87">
        <v>-4116234.7</v>
      </c>
      <c r="I227" s="87">
        <v>-5880335.2999999998</v>
      </c>
    </row>
    <row r="243" spans="6:9" x14ac:dyDescent="0.25">
      <c r="F243" s="1"/>
      <c r="G243" s="1"/>
      <c r="H243" s="1"/>
      <c r="I243" s="1"/>
    </row>
    <row r="244" spans="6:9" x14ac:dyDescent="0.25">
      <c r="F244" s="1"/>
      <c r="G244" s="1"/>
      <c r="H244" s="1"/>
      <c r="I244" s="1"/>
    </row>
    <row r="245" spans="6:9" x14ac:dyDescent="0.25">
      <c r="F245" s="1"/>
      <c r="G245" s="1"/>
      <c r="H245" s="1"/>
      <c r="I245" s="1"/>
    </row>
    <row r="246" spans="6:9" x14ac:dyDescent="0.25">
      <c r="F246" s="1"/>
      <c r="G246" s="1"/>
      <c r="H246" s="1"/>
      <c r="I246" s="1"/>
    </row>
    <row r="247" spans="6:9" x14ac:dyDescent="0.25">
      <c r="F247" s="1"/>
      <c r="G247" s="1"/>
      <c r="H247" s="1"/>
      <c r="I247" s="1"/>
    </row>
    <row r="248" spans="6:9" x14ac:dyDescent="0.25">
      <c r="F248" s="1"/>
      <c r="G248" s="1"/>
      <c r="H248" s="1"/>
      <c r="I248" s="1"/>
    </row>
    <row r="249" spans="6:9" x14ac:dyDescent="0.25">
      <c r="F249" s="1"/>
      <c r="G249" s="1"/>
      <c r="H249" s="1"/>
      <c r="I249" s="1"/>
    </row>
    <row r="250" spans="6:9" x14ac:dyDescent="0.25">
      <c r="F250" s="1"/>
      <c r="G250" s="1"/>
      <c r="H250" s="1"/>
      <c r="I250" s="1"/>
    </row>
    <row r="251" spans="6:9" x14ac:dyDescent="0.25">
      <c r="F251" s="1"/>
      <c r="G251" s="1"/>
      <c r="H251" s="1"/>
      <c r="I251" s="1"/>
    </row>
    <row r="252" spans="6:9" x14ac:dyDescent="0.25">
      <c r="F252" s="1"/>
      <c r="G252" s="1"/>
      <c r="H252" s="1"/>
      <c r="I252" s="1"/>
    </row>
    <row r="253" spans="6:9" x14ac:dyDescent="0.25">
      <c r="F253" s="1"/>
      <c r="G253" s="1"/>
      <c r="H253" s="1"/>
      <c r="I253" s="1"/>
    </row>
    <row r="254" spans="6:9" x14ac:dyDescent="0.25">
      <c r="F254" s="1"/>
      <c r="G254" s="1"/>
      <c r="H254" s="1"/>
      <c r="I254" s="1"/>
    </row>
    <row r="255" spans="6:9" x14ac:dyDescent="0.25">
      <c r="F255" s="1"/>
      <c r="G255" s="1"/>
      <c r="H255" s="1"/>
      <c r="I255" s="1"/>
    </row>
    <row r="256" spans="6:9" x14ac:dyDescent="0.25">
      <c r="F256" s="1"/>
      <c r="G256" s="1"/>
      <c r="H256" s="1"/>
      <c r="I256" s="1"/>
    </row>
    <row r="257" spans="6:9" x14ac:dyDescent="0.25">
      <c r="F257" s="1"/>
      <c r="G257" s="1"/>
      <c r="H257" s="1"/>
      <c r="I257" s="1"/>
    </row>
    <row r="258" spans="6:9" x14ac:dyDescent="0.25">
      <c r="F258" s="1"/>
      <c r="G258" s="1"/>
      <c r="H258" s="1"/>
      <c r="I258" s="1"/>
    </row>
    <row r="259" spans="6:9" x14ac:dyDescent="0.25">
      <c r="F259" s="1"/>
      <c r="G259" s="1"/>
      <c r="H259" s="1"/>
      <c r="I259" s="1"/>
    </row>
    <row r="260" spans="6:9" x14ac:dyDescent="0.25">
      <c r="F260" s="1"/>
      <c r="G260" s="1"/>
      <c r="H260" s="1"/>
      <c r="I260" s="1"/>
    </row>
    <row r="261" spans="6:9" x14ac:dyDescent="0.25">
      <c r="F261" s="1"/>
      <c r="G261" s="1"/>
      <c r="H261" s="1"/>
      <c r="I261" s="1"/>
    </row>
    <row r="262" spans="6:9" x14ac:dyDescent="0.25">
      <c r="F262" s="1"/>
      <c r="G262" s="1"/>
      <c r="H262" s="1"/>
      <c r="I262" s="1"/>
    </row>
    <row r="263" spans="6:9" x14ac:dyDescent="0.25">
      <c r="F263" s="1"/>
      <c r="G263" s="1"/>
      <c r="H263" s="1"/>
      <c r="I263" s="1"/>
    </row>
    <row r="264" spans="6:9" x14ac:dyDescent="0.25">
      <c r="F264" s="1"/>
      <c r="G264" s="1"/>
      <c r="H264" s="1"/>
      <c r="I264" s="1"/>
    </row>
    <row r="265" spans="6:9" x14ac:dyDescent="0.25">
      <c r="F265" s="1"/>
      <c r="G265" s="1"/>
      <c r="H265" s="1"/>
      <c r="I265" s="1"/>
    </row>
    <row r="266" spans="6:9" x14ac:dyDescent="0.25">
      <c r="F266" s="1"/>
      <c r="G266" s="1"/>
      <c r="H266" s="1"/>
      <c r="I266" s="1"/>
    </row>
    <row r="267" spans="6:9" x14ac:dyDescent="0.25">
      <c r="F267" s="1"/>
      <c r="G267" s="1"/>
      <c r="H267" s="1"/>
      <c r="I267" s="1"/>
    </row>
    <row r="268" spans="6:9" x14ac:dyDescent="0.25">
      <c r="F268" s="1"/>
      <c r="G268" s="1"/>
      <c r="H268" s="1"/>
      <c r="I268" s="1"/>
    </row>
    <row r="269" spans="6:9" x14ac:dyDescent="0.25">
      <c r="F269" s="1"/>
      <c r="G269" s="1"/>
      <c r="H269" s="1"/>
      <c r="I269" s="1"/>
    </row>
    <row r="270" spans="6:9" x14ac:dyDescent="0.25">
      <c r="F270" s="1"/>
      <c r="G270" s="1"/>
      <c r="H270" s="1"/>
      <c r="I270" s="1"/>
    </row>
    <row r="271" spans="6:9" x14ac:dyDescent="0.25">
      <c r="F271" s="1"/>
      <c r="G271" s="1"/>
      <c r="H271" s="1"/>
      <c r="I271" s="1"/>
    </row>
    <row r="272" spans="6:9" x14ac:dyDescent="0.25">
      <c r="F272" s="1"/>
      <c r="G272" s="1"/>
      <c r="H272" s="1"/>
      <c r="I272" s="1"/>
    </row>
    <row r="273" spans="6:9" x14ac:dyDescent="0.25">
      <c r="F273" s="1"/>
      <c r="G273" s="1"/>
      <c r="H273" s="1"/>
      <c r="I273" s="1"/>
    </row>
    <row r="274" spans="6:9" x14ac:dyDescent="0.25">
      <c r="F274" s="1"/>
      <c r="G274" s="1"/>
      <c r="H274" s="1"/>
      <c r="I274" s="1"/>
    </row>
    <row r="275" spans="6:9" x14ac:dyDescent="0.25">
      <c r="F275" s="1"/>
      <c r="G275" s="1"/>
      <c r="H275" s="1"/>
      <c r="I275" s="1"/>
    </row>
    <row r="276" spans="6:9" x14ac:dyDescent="0.25">
      <c r="F276" s="1"/>
      <c r="G276" s="1"/>
      <c r="H276" s="1"/>
      <c r="I276" s="1"/>
    </row>
    <row r="277" spans="6:9" x14ac:dyDescent="0.25">
      <c r="F277" s="1"/>
      <c r="G277" s="1"/>
      <c r="H277" s="1"/>
      <c r="I277" s="1"/>
    </row>
    <row r="278" spans="6:9" x14ac:dyDescent="0.25">
      <c r="F278" s="1"/>
      <c r="G278" s="1"/>
      <c r="H278" s="1"/>
      <c r="I278" s="1"/>
    </row>
    <row r="279" spans="6:9" x14ac:dyDescent="0.25">
      <c r="F279" s="1"/>
      <c r="G279" s="1"/>
      <c r="H279" s="1"/>
      <c r="I279" s="1"/>
    </row>
    <row r="280" spans="6:9" x14ac:dyDescent="0.25">
      <c r="F280" s="1"/>
      <c r="G280" s="1"/>
      <c r="H280" s="1"/>
      <c r="I280" s="1"/>
    </row>
    <row r="281" spans="6:9" x14ac:dyDescent="0.25">
      <c r="F281" s="1"/>
      <c r="G281" s="1"/>
      <c r="H281" s="1"/>
      <c r="I281" s="1"/>
    </row>
    <row r="282" spans="6:9" x14ac:dyDescent="0.25">
      <c r="F282" s="1"/>
      <c r="G282" s="1"/>
      <c r="H282" s="1"/>
      <c r="I282" s="1"/>
    </row>
    <row r="283" spans="6:9" x14ac:dyDescent="0.25">
      <c r="F283" s="1"/>
      <c r="G283" s="1"/>
      <c r="H283" s="1"/>
      <c r="I283" s="1"/>
    </row>
    <row r="284" spans="6:9" x14ac:dyDescent="0.25">
      <c r="F284" s="1"/>
      <c r="G284" s="1"/>
      <c r="H284" s="1"/>
      <c r="I284" s="1"/>
    </row>
    <row r="285" spans="6:9" x14ac:dyDescent="0.25">
      <c r="F285" s="1"/>
      <c r="G285" s="1"/>
      <c r="H285" s="1"/>
      <c r="I285" s="1"/>
    </row>
    <row r="286" spans="6:9" x14ac:dyDescent="0.25">
      <c r="F286" s="1"/>
      <c r="G286" s="1"/>
      <c r="H286" s="1"/>
      <c r="I286" s="1"/>
    </row>
    <row r="287" spans="6:9" x14ac:dyDescent="0.25">
      <c r="F287" s="1"/>
      <c r="G287" s="1"/>
      <c r="H287" s="1"/>
      <c r="I287" s="1"/>
    </row>
    <row r="288" spans="6:9" x14ac:dyDescent="0.25">
      <c r="F288" s="1"/>
      <c r="G288" s="1"/>
      <c r="H288" s="1"/>
      <c r="I288" s="1"/>
    </row>
    <row r="289" spans="5:9" x14ac:dyDescent="0.25">
      <c r="F289" s="1"/>
      <c r="G289" s="1"/>
      <c r="H289" s="1"/>
      <c r="I289" s="1"/>
    </row>
    <row r="290" spans="5:9" x14ac:dyDescent="0.25">
      <c r="F290" s="1"/>
      <c r="G290" s="1"/>
      <c r="H290" s="1"/>
      <c r="I290" s="1"/>
    </row>
    <row r="291" spans="5:9" x14ac:dyDescent="0.25">
      <c r="F291" s="1"/>
      <c r="G291" s="1"/>
      <c r="H291" s="1"/>
      <c r="I291" s="1"/>
    </row>
    <row r="292" spans="5:9" x14ac:dyDescent="0.25">
      <c r="F292" s="1"/>
      <c r="G292" s="1"/>
      <c r="H292" s="1"/>
      <c r="I292" s="1"/>
    </row>
    <row r="293" spans="5:9" x14ac:dyDescent="0.25">
      <c r="F293" s="1"/>
      <c r="G293" s="1"/>
      <c r="H293" s="1"/>
      <c r="I293" s="1"/>
    </row>
    <row r="294" spans="5:9" x14ac:dyDescent="0.25">
      <c r="F294" s="1"/>
      <c r="G294" s="1"/>
      <c r="H294" s="1"/>
      <c r="I294" s="1"/>
    </row>
    <row r="295" spans="5:9" x14ac:dyDescent="0.25">
      <c r="E295" s="55" t="s">
        <v>270</v>
      </c>
      <c r="F295" s="55"/>
      <c r="G295" s="55"/>
      <c r="H295" s="55"/>
      <c r="I295" s="55"/>
    </row>
    <row r="296" spans="5:9" ht="66" x14ac:dyDescent="0.25">
      <c r="E296" s="54" t="s">
        <v>59</v>
      </c>
      <c r="F296" s="279">
        <f>SUM(F297:F298)</f>
        <v>1106814.5</v>
      </c>
      <c r="G296" s="279">
        <f t="shared" ref="G296:I296" si="114">SUM(G297:G298)</f>
        <v>2194721.6</v>
      </c>
      <c r="H296" s="279">
        <f t="shared" si="114"/>
        <v>3815622.2</v>
      </c>
      <c r="I296" s="279">
        <f t="shared" si="114"/>
        <v>5497352.7999999998</v>
      </c>
    </row>
    <row r="297" spans="5:9" x14ac:dyDescent="0.25">
      <c r="E297" s="55" t="s">
        <v>266</v>
      </c>
      <c r="F297" s="281">
        <f>SUM(1145084.5)</f>
        <v>1145084.5</v>
      </c>
      <c r="G297" s="281">
        <f>SUM(2232991.6)</f>
        <v>2232991.6</v>
      </c>
      <c r="H297" s="281">
        <f>SUM(3684095.2+58957+36930)</f>
        <v>3779982.2</v>
      </c>
      <c r="I297" s="281">
        <f>SUM(5365825.8+58957+36930)</f>
        <v>5461712.7999999998</v>
      </c>
    </row>
    <row r="298" spans="5:9" x14ac:dyDescent="0.25">
      <c r="E298" s="55" t="s">
        <v>265</v>
      </c>
      <c r="F298" s="282">
        <f>SUM(-38270)</f>
        <v>-38270</v>
      </c>
      <c r="G298" s="282">
        <f>SUM(-38270)</f>
        <v>-38270</v>
      </c>
      <c r="H298" s="282">
        <f>SUM(-38270+73910)</f>
        <v>35640</v>
      </c>
      <c r="I298" s="282">
        <f>SUM(-38270+73910)</f>
        <v>35640</v>
      </c>
    </row>
    <row r="299" spans="5:9" x14ac:dyDescent="0.25">
      <c r="E299" s="55"/>
      <c r="F299" s="283"/>
      <c r="G299" s="283"/>
      <c r="H299" s="283"/>
      <c r="I299" s="283"/>
    </row>
    <row r="300" spans="5:9" ht="49.5" x14ac:dyDescent="0.25">
      <c r="E300" s="54" t="s">
        <v>207</v>
      </c>
      <c r="F300" s="284">
        <f>SUM(F301:F302)</f>
        <v>69252.5</v>
      </c>
      <c r="G300" s="284">
        <f t="shared" ref="G300:I300" si="115">SUM(G301:G302)</f>
        <v>157412.5</v>
      </c>
      <c r="H300" s="284">
        <f>SUM(H301:H302)</f>
        <v>260612.5</v>
      </c>
      <c r="I300" s="284">
        <f t="shared" si="115"/>
        <v>342982.5</v>
      </c>
    </row>
    <row r="301" spans="5:9" x14ac:dyDescent="0.25">
      <c r="E301" s="55" t="s">
        <v>266</v>
      </c>
      <c r="F301" s="283">
        <f>SUM(72672.5+70)</f>
        <v>72742.5</v>
      </c>
      <c r="G301" s="283">
        <f>SUM(143372.5+2100+430)</f>
        <v>145902.5</v>
      </c>
      <c r="H301" s="283">
        <f>SUM(227172.5+2100+2310)</f>
        <v>231582.5</v>
      </c>
      <c r="I301" s="283">
        <f>SUM(309342.5+2300+2310)</f>
        <v>313952.5</v>
      </c>
    </row>
    <row r="302" spans="5:9" x14ac:dyDescent="0.25">
      <c r="E302" s="55" t="s">
        <v>265</v>
      </c>
      <c r="F302" s="283">
        <v>-3490</v>
      </c>
      <c r="G302" s="283">
        <f>-3490+15000</f>
        <v>11510</v>
      </c>
      <c r="H302" s="283">
        <f>-3490+32520</f>
        <v>29030</v>
      </c>
      <c r="I302" s="283">
        <f>-3490+32520</f>
        <v>29030</v>
      </c>
    </row>
    <row r="303" spans="5:9" x14ac:dyDescent="0.25">
      <c r="E303" s="55"/>
      <c r="F303" s="280"/>
      <c r="G303" s="280"/>
      <c r="H303" s="280"/>
      <c r="I303" s="280"/>
    </row>
    <row r="304" spans="5:9" x14ac:dyDescent="0.25">
      <c r="F304" s="1"/>
      <c r="G304" s="1"/>
      <c r="H304" s="1"/>
      <c r="I304" s="1"/>
    </row>
    <row r="305" spans="6:9" x14ac:dyDescent="0.25">
      <c r="F305" s="1"/>
      <c r="G305" s="1"/>
      <c r="H305" s="1"/>
      <c r="I305" s="1"/>
    </row>
    <row r="306" spans="6:9" x14ac:dyDescent="0.25">
      <c r="F306" s="1"/>
      <c r="G306" s="1"/>
      <c r="H306" s="1"/>
      <c r="I306" s="1"/>
    </row>
    <row r="307" spans="6:9" x14ac:dyDescent="0.25">
      <c r="F307" s="1"/>
      <c r="G307" s="1"/>
      <c r="H307" s="1"/>
      <c r="I307" s="1"/>
    </row>
    <row r="308" spans="6:9" x14ac:dyDescent="0.25">
      <c r="F308" s="1"/>
      <c r="G308" s="1"/>
      <c r="H308" s="1"/>
      <c r="I308" s="1"/>
    </row>
    <row r="309" spans="6:9" x14ac:dyDescent="0.25">
      <c r="F309" s="1"/>
      <c r="G309" s="1"/>
      <c r="H309" s="1"/>
      <c r="I309" s="1"/>
    </row>
    <row r="310" spans="6:9" x14ac:dyDescent="0.25">
      <c r="F310" s="1"/>
      <c r="G310" s="1"/>
      <c r="H310" s="1"/>
      <c r="I310" s="1"/>
    </row>
    <row r="311" spans="6:9" x14ac:dyDescent="0.25">
      <c r="F311" s="1"/>
      <c r="G311" s="1"/>
      <c r="H311" s="1"/>
      <c r="I311" s="1"/>
    </row>
    <row r="312" spans="6:9" x14ac:dyDescent="0.25">
      <c r="F312" s="1"/>
      <c r="G312" s="1"/>
      <c r="H312" s="1"/>
      <c r="I312" s="1"/>
    </row>
    <row r="313" spans="6:9" x14ac:dyDescent="0.25">
      <c r="F313" s="1"/>
      <c r="G313" s="1"/>
      <c r="H313" s="1"/>
      <c r="I313" s="1"/>
    </row>
    <row r="314" spans="6:9" x14ac:dyDescent="0.25">
      <c r="F314" s="1"/>
      <c r="G314" s="1"/>
      <c r="H314" s="1"/>
      <c r="I314" s="1"/>
    </row>
    <row r="315" spans="6:9" x14ac:dyDescent="0.25">
      <c r="F315" s="1"/>
      <c r="G315" s="1"/>
      <c r="H315" s="1"/>
      <c r="I315" s="1"/>
    </row>
    <row r="316" spans="6:9" x14ac:dyDescent="0.25">
      <c r="F316" s="1"/>
      <c r="G316" s="1"/>
      <c r="H316" s="1"/>
      <c r="I316" s="1"/>
    </row>
    <row r="317" spans="6:9" x14ac:dyDescent="0.25">
      <c r="F317" s="1"/>
      <c r="G317" s="1"/>
      <c r="H317" s="1"/>
      <c r="I317" s="1"/>
    </row>
    <row r="318" spans="6:9" x14ac:dyDescent="0.25">
      <c r="F318" s="1"/>
      <c r="G318" s="1"/>
      <c r="H318" s="1"/>
      <c r="I318" s="1"/>
    </row>
    <row r="319" spans="6:9" x14ac:dyDescent="0.25">
      <c r="F319" s="1"/>
      <c r="G319" s="1"/>
      <c r="H319" s="1"/>
      <c r="I319" s="1"/>
    </row>
    <row r="320" spans="6:9" x14ac:dyDescent="0.25">
      <c r="F320" s="1"/>
      <c r="G320" s="1"/>
      <c r="H320" s="1"/>
      <c r="I320" s="1"/>
    </row>
    <row r="321" spans="6:9" x14ac:dyDescent="0.25">
      <c r="F321" s="1"/>
      <c r="G321" s="1"/>
      <c r="H321" s="1"/>
      <c r="I321" s="1"/>
    </row>
    <row r="322" spans="6:9" x14ac:dyDescent="0.25">
      <c r="F322" s="1"/>
      <c r="G322" s="1"/>
      <c r="H322" s="1"/>
      <c r="I322" s="1"/>
    </row>
    <row r="323" spans="6:9" x14ac:dyDescent="0.25">
      <c r="F323" s="1"/>
      <c r="G323" s="1"/>
      <c r="H323" s="1"/>
      <c r="I323" s="1"/>
    </row>
    <row r="324" spans="6:9" x14ac:dyDescent="0.25">
      <c r="F324" s="1"/>
      <c r="G324" s="1"/>
      <c r="H324" s="1"/>
      <c r="I324" s="1"/>
    </row>
    <row r="325" spans="6:9" x14ac:dyDescent="0.25">
      <c r="F325" s="1"/>
      <c r="G325" s="1"/>
      <c r="H325" s="1"/>
      <c r="I325" s="1"/>
    </row>
    <row r="326" spans="6:9" x14ac:dyDescent="0.25">
      <c r="F326" s="1"/>
      <c r="G326" s="1"/>
      <c r="H326" s="1"/>
      <c r="I326" s="1"/>
    </row>
    <row r="327" spans="6:9" x14ac:dyDescent="0.25">
      <c r="F327" s="1"/>
      <c r="G327" s="1"/>
      <c r="H327" s="1"/>
      <c r="I327" s="1"/>
    </row>
    <row r="328" spans="6:9" x14ac:dyDescent="0.25">
      <c r="F328" s="1"/>
      <c r="G328" s="1"/>
      <c r="H328" s="1"/>
      <c r="I328" s="1"/>
    </row>
    <row r="329" spans="6:9" x14ac:dyDescent="0.25">
      <c r="F329" s="1"/>
      <c r="G329" s="1"/>
      <c r="H329" s="1"/>
      <c r="I329" s="1"/>
    </row>
    <row r="330" spans="6:9" x14ac:dyDescent="0.25">
      <c r="F330" s="1"/>
      <c r="G330" s="1"/>
      <c r="H330" s="1"/>
      <c r="I330" s="1"/>
    </row>
    <row r="331" spans="6:9" x14ac:dyDescent="0.25">
      <c r="F331" s="1"/>
      <c r="G331" s="1"/>
      <c r="H331" s="1"/>
      <c r="I331" s="1"/>
    </row>
    <row r="332" spans="6:9" x14ac:dyDescent="0.25">
      <c r="F332" s="1"/>
      <c r="G332" s="1"/>
      <c r="H332" s="1"/>
      <c r="I332" s="1"/>
    </row>
    <row r="333" spans="6:9" x14ac:dyDescent="0.25">
      <c r="F333" s="1"/>
      <c r="G333" s="1"/>
      <c r="H333" s="1"/>
      <c r="I333" s="1"/>
    </row>
    <row r="334" spans="6:9" x14ac:dyDescent="0.25">
      <c r="F334" s="1"/>
      <c r="G334" s="1"/>
      <c r="H334" s="1"/>
      <c r="I334" s="1"/>
    </row>
    <row r="335" spans="6:9" x14ac:dyDescent="0.25">
      <c r="F335" s="1"/>
      <c r="G335" s="1"/>
      <c r="H335" s="1"/>
      <c r="I335" s="1"/>
    </row>
    <row r="336" spans="6:9" x14ac:dyDescent="0.25">
      <c r="F336" s="1"/>
      <c r="G336" s="1"/>
      <c r="H336" s="1"/>
      <c r="I336" s="1"/>
    </row>
    <row r="337" spans="6:9" x14ac:dyDescent="0.25">
      <c r="F337" s="1"/>
      <c r="G337" s="1"/>
      <c r="H337" s="1"/>
      <c r="I337" s="1"/>
    </row>
    <row r="338" spans="6:9" x14ac:dyDescent="0.25">
      <c r="F338" s="1"/>
      <c r="G338" s="1"/>
      <c r="H338" s="1"/>
      <c r="I338" s="1"/>
    </row>
    <row r="339" spans="6:9" x14ac:dyDescent="0.25">
      <c r="F339" s="1"/>
      <c r="G339" s="1"/>
      <c r="H339" s="1"/>
      <c r="I339" s="1"/>
    </row>
    <row r="340" spans="6:9" x14ac:dyDescent="0.25">
      <c r="F340" s="1"/>
      <c r="G340" s="1"/>
      <c r="H340" s="1"/>
      <c r="I340" s="1"/>
    </row>
    <row r="341" spans="6:9" x14ac:dyDescent="0.25">
      <c r="F341" s="1"/>
      <c r="G341" s="1"/>
      <c r="H341" s="1"/>
      <c r="I341" s="1"/>
    </row>
    <row r="342" spans="6:9" x14ac:dyDescent="0.25">
      <c r="F342" s="1"/>
      <c r="G342" s="1"/>
      <c r="H342" s="1"/>
      <c r="I342" s="1"/>
    </row>
    <row r="343" spans="6:9" x14ac:dyDescent="0.25">
      <c r="F343" s="1"/>
      <c r="G343" s="1"/>
      <c r="H343" s="1"/>
      <c r="I343" s="1"/>
    </row>
    <row r="344" spans="6:9" x14ac:dyDescent="0.25">
      <c r="F344" s="1"/>
      <c r="G344" s="1"/>
      <c r="H344" s="1"/>
      <c r="I344" s="1"/>
    </row>
    <row r="345" spans="6:9" x14ac:dyDescent="0.25">
      <c r="F345" s="1"/>
      <c r="G345" s="1"/>
      <c r="H345" s="1"/>
      <c r="I345" s="1"/>
    </row>
    <row r="346" spans="6:9" x14ac:dyDescent="0.25">
      <c r="F346" s="1"/>
      <c r="G346" s="1"/>
      <c r="H346" s="1"/>
      <c r="I346" s="1"/>
    </row>
    <row r="347" spans="6:9" x14ac:dyDescent="0.25">
      <c r="F347" s="1"/>
      <c r="G347" s="1"/>
      <c r="H347" s="1"/>
      <c r="I347" s="1"/>
    </row>
    <row r="348" spans="6:9" x14ac:dyDescent="0.25">
      <c r="F348" s="1"/>
      <c r="G348" s="1"/>
      <c r="H348" s="1"/>
      <c r="I348" s="1"/>
    </row>
    <row r="349" spans="6:9" x14ac:dyDescent="0.25">
      <c r="F349" s="1"/>
      <c r="G349" s="1"/>
      <c r="H349" s="1"/>
      <c r="I349" s="1"/>
    </row>
    <row r="350" spans="6:9" x14ac:dyDescent="0.25">
      <c r="F350" s="1"/>
      <c r="G350" s="1"/>
      <c r="H350" s="1"/>
      <c r="I350" s="1"/>
    </row>
    <row r="351" spans="6:9" x14ac:dyDescent="0.25">
      <c r="F351" s="1"/>
      <c r="G351" s="1"/>
      <c r="H351" s="1"/>
      <c r="I351" s="1"/>
    </row>
    <row r="352" spans="6:9" x14ac:dyDescent="0.25">
      <c r="F352" s="1"/>
      <c r="G352" s="1"/>
      <c r="H352" s="1"/>
      <c r="I352" s="1"/>
    </row>
    <row r="353" spans="6:9" x14ac:dyDescent="0.25">
      <c r="F353" s="1"/>
      <c r="G353" s="1"/>
      <c r="H353" s="1"/>
      <c r="I353" s="1"/>
    </row>
    <row r="354" spans="6:9" x14ac:dyDescent="0.25">
      <c r="F354" s="1"/>
      <c r="G354" s="1"/>
      <c r="H354" s="1"/>
      <c r="I354" s="1"/>
    </row>
    <row r="355" spans="6:9" x14ac:dyDescent="0.25">
      <c r="F355" s="1"/>
      <c r="G355" s="1"/>
      <c r="H355" s="1"/>
      <c r="I355" s="1"/>
    </row>
    <row r="356" spans="6:9" x14ac:dyDescent="0.25">
      <c r="F356" s="1"/>
      <c r="G356" s="1"/>
      <c r="H356" s="1"/>
      <c r="I356" s="1"/>
    </row>
    <row r="357" spans="6:9" x14ac:dyDescent="0.25">
      <c r="F357" s="1"/>
      <c r="G357" s="1"/>
      <c r="H357" s="1"/>
      <c r="I357" s="1"/>
    </row>
    <row r="358" spans="6:9" x14ac:dyDescent="0.25">
      <c r="F358" s="1"/>
      <c r="G358" s="1"/>
      <c r="H358" s="1"/>
      <c r="I358" s="1"/>
    </row>
    <row r="359" spans="6:9" x14ac:dyDescent="0.25">
      <c r="F359" s="1"/>
      <c r="G359" s="1"/>
      <c r="H359" s="1"/>
      <c r="I359" s="1"/>
    </row>
  </sheetData>
  <mergeCells count="14">
    <mergeCell ref="J11:M11"/>
    <mergeCell ref="N11:Q11"/>
    <mergeCell ref="J178:M178"/>
    <mergeCell ref="N178:Q178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Հաշվարկ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2018-03-07T12:42:57Z</dcterms:modified>
</cp:coreProperties>
</file>