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Qnarik\Desktop\"/>
    </mc:Choice>
  </mc:AlternateContent>
  <xr:revisionPtr revIDLastSave="0" documentId="13_ncr:1_{03D7D352-96EA-4367-9F19-E8E55AEA5D64}" xr6:coauthVersionLast="47" xr6:coauthVersionMax="47" xr10:uidLastSave="{00000000-0000-0000-0000-000000000000}"/>
  <bookViews>
    <workbookView xWindow="-108" yWindow="-108" windowWidth="23256" windowHeight="12456" tabRatio="827" activeTab="2" xr2:uid="{00000000-000D-0000-FFFF-FFFF00000000}"/>
  </bookViews>
  <sheets>
    <sheet name="Արդյունքային շրջանակ" sheetId="31" r:id="rId1"/>
    <sheet name="Գործողությունների ծրագիր" sheetId="32" r:id="rId2"/>
    <sheet name="Ֆինանսավորման ամփոփում" sheetId="41" r:id="rId3"/>
    <sheet name="Indicator Passports" sheetId="33" state="hidden" r:id="rId4"/>
    <sheet name="costing variables" sheetId="28" state="hidden" r:id="rId5"/>
    <sheet name="results indicators calculations" sheetId="40" state="hidden" r:id="rId6"/>
    <sheet name="calculations" sheetId="36"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6" i="40" l="1"/>
  <c r="H28" i="28"/>
  <c r="H115" i="28" l="1"/>
  <c r="I115" i="28"/>
  <c r="J115" i="28"/>
  <c r="K115" i="28"/>
  <c r="L115" i="28"/>
  <c r="M115" i="28"/>
  <c r="G115" i="28"/>
  <c r="H117" i="28"/>
  <c r="I117" i="28"/>
  <c r="J117" i="28"/>
  <c r="K117" i="28"/>
  <c r="L117" i="28"/>
  <c r="M117" i="28"/>
  <c r="G117" i="28"/>
  <c r="L116" i="28"/>
  <c r="M116" i="28" s="1"/>
  <c r="K116" i="28"/>
  <c r="H23" i="28"/>
  <c r="B66" i="36"/>
  <c r="B65" i="36"/>
  <c r="B63" i="36"/>
  <c r="H81" i="28" l="1"/>
  <c r="M81" i="28"/>
  <c r="L81" i="28"/>
  <c r="K81" i="28"/>
  <c r="J81" i="28"/>
  <c r="I81" i="28"/>
  <c r="L447" i="40"/>
  <c r="M447" i="40"/>
  <c r="N447" i="40"/>
  <c r="O447" i="40"/>
  <c r="P447" i="40"/>
  <c r="K447" i="40"/>
  <c r="J447" i="40"/>
  <c r="J455" i="40"/>
  <c r="J456" i="40"/>
  <c r="J458" i="40"/>
  <c r="P227" i="40"/>
  <c r="K227" i="40"/>
  <c r="J227" i="40"/>
  <c r="L227" i="40" s="1"/>
  <c r="J236" i="40"/>
  <c r="J204" i="40"/>
  <c r="J205" i="40" s="1"/>
  <c r="J192" i="40" s="1"/>
  <c r="J38" i="40"/>
  <c r="J47" i="40" s="1"/>
  <c r="C515" i="40"/>
  <c r="I38" i="40"/>
  <c r="E338" i="40"/>
  <c r="J750" i="40"/>
  <c r="K731" i="40" s="1"/>
  <c r="K26" i="40" s="1"/>
  <c r="F750" i="40"/>
  <c r="G731" i="40" s="1"/>
  <c r="G26" i="40" s="1"/>
  <c r="C731" i="40"/>
  <c r="J724" i="40"/>
  <c r="J706" i="40" s="1"/>
  <c r="I724" i="40"/>
  <c r="H724" i="40"/>
  <c r="G724" i="40"/>
  <c r="F724" i="40"/>
  <c r="F706" i="40" s="1"/>
  <c r="F22" i="40" s="1"/>
  <c r="E724" i="40"/>
  <c r="E22" i="40" s="1"/>
  <c r="I706" i="40"/>
  <c r="I22" i="40" s="1"/>
  <c r="H706" i="40"/>
  <c r="H22" i="40" s="1"/>
  <c r="G706" i="40"/>
  <c r="C706" i="40"/>
  <c r="P668" i="40"/>
  <c r="Q670" i="40" s="1"/>
  <c r="O668" i="40"/>
  <c r="N668" i="40"/>
  <c r="N21" i="40" s="1"/>
  <c r="M668" i="40"/>
  <c r="M670" i="40" s="1"/>
  <c r="L668" i="40"/>
  <c r="L670" i="40" s="1"/>
  <c r="K668" i="40"/>
  <c r="J668" i="40"/>
  <c r="J670" i="40" s="1"/>
  <c r="C668" i="40"/>
  <c r="P630" i="40"/>
  <c r="Q632" i="40" s="1"/>
  <c r="O630" i="40"/>
  <c r="N630" i="40"/>
  <c r="O632" i="40" s="1"/>
  <c r="M630" i="40"/>
  <c r="N632" i="40" s="1"/>
  <c r="L630" i="40"/>
  <c r="L632" i="40" s="1"/>
  <c r="K630" i="40"/>
  <c r="J630" i="40"/>
  <c r="J632" i="40" s="1"/>
  <c r="C630" i="40"/>
  <c r="J619" i="40"/>
  <c r="I619" i="40"/>
  <c r="H619" i="40"/>
  <c r="G619" i="40"/>
  <c r="F619" i="40"/>
  <c r="E619" i="40"/>
  <c r="P612" i="40"/>
  <c r="Q614" i="40" s="1"/>
  <c r="O612" i="40"/>
  <c r="O614" i="40" s="1"/>
  <c r="N612" i="40"/>
  <c r="N614" i="40" s="1"/>
  <c r="M612" i="40"/>
  <c r="L612" i="40"/>
  <c r="M614" i="40" s="1"/>
  <c r="K612" i="40"/>
  <c r="L614" i="40" s="1"/>
  <c r="J612" i="40"/>
  <c r="J614" i="40" s="1"/>
  <c r="C612" i="40"/>
  <c r="H604" i="40"/>
  <c r="H603" i="40"/>
  <c r="H602" i="40"/>
  <c r="H601" i="40"/>
  <c r="C591" i="40"/>
  <c r="J555" i="40"/>
  <c r="P553" i="40"/>
  <c r="Q555" i="40" s="1"/>
  <c r="O553" i="40"/>
  <c r="N553" i="40"/>
  <c r="M553" i="40"/>
  <c r="M17" i="40" s="1"/>
  <c r="L553" i="40"/>
  <c r="K553" i="40"/>
  <c r="L555" i="40" s="1"/>
  <c r="J553" i="40"/>
  <c r="C553" i="40"/>
  <c r="P515" i="40"/>
  <c r="Q517" i="40" s="1"/>
  <c r="O515" i="40"/>
  <c r="O16" i="40" s="1"/>
  <c r="N515" i="40"/>
  <c r="N517" i="40" s="1"/>
  <c r="M515" i="40"/>
  <c r="L515" i="40"/>
  <c r="M517" i="40" s="1"/>
  <c r="K515" i="40"/>
  <c r="L517" i="40" s="1"/>
  <c r="J515" i="40"/>
  <c r="J517" i="40" s="1"/>
  <c r="I508" i="40"/>
  <c r="I507" i="40"/>
  <c r="I506" i="40"/>
  <c r="I505" i="40"/>
  <c r="I504" i="40"/>
  <c r="I503" i="40"/>
  <c r="I502" i="40"/>
  <c r="I501" i="40"/>
  <c r="I500" i="40"/>
  <c r="I499" i="40"/>
  <c r="I498" i="40"/>
  <c r="I497" i="40"/>
  <c r="I496" i="40"/>
  <c r="I495" i="40"/>
  <c r="I494" i="40"/>
  <c r="I493" i="40"/>
  <c r="I492" i="40"/>
  <c r="I491" i="40"/>
  <c r="I490" i="40"/>
  <c r="I489" i="40"/>
  <c r="I488" i="40"/>
  <c r="I487" i="40"/>
  <c r="I486" i="40"/>
  <c r="I485" i="40"/>
  <c r="I484" i="40"/>
  <c r="I483" i="40"/>
  <c r="I482" i="40"/>
  <c r="I481" i="40"/>
  <c r="I480" i="40"/>
  <c r="I479" i="40"/>
  <c r="I478" i="40"/>
  <c r="I447" i="40"/>
  <c r="H447" i="40"/>
  <c r="G447" i="40"/>
  <c r="F447" i="40"/>
  <c r="F15" i="40" s="1"/>
  <c r="E447" i="40"/>
  <c r="C447" i="40"/>
  <c r="M383" i="40"/>
  <c r="M14" i="40" s="1"/>
  <c r="I383" i="40"/>
  <c r="P383" i="40" s="1"/>
  <c r="H383" i="40"/>
  <c r="G383" i="40"/>
  <c r="F383" i="40"/>
  <c r="F14" i="40" s="1"/>
  <c r="E383" i="40"/>
  <c r="E14" i="40" s="1"/>
  <c r="C383" i="40"/>
  <c r="I382" i="40"/>
  <c r="N382" i="40" s="1"/>
  <c r="H382" i="40"/>
  <c r="G382" i="40"/>
  <c r="F382" i="40"/>
  <c r="F13" i="40" s="1"/>
  <c r="E382" i="40"/>
  <c r="E13" i="40" s="1"/>
  <c r="C382" i="40"/>
  <c r="N338" i="40"/>
  <c r="N12" i="40" s="1"/>
  <c r="J338" i="40"/>
  <c r="P338" i="40" s="1"/>
  <c r="I338" i="40"/>
  <c r="H338" i="40"/>
  <c r="G338" i="40"/>
  <c r="F338" i="40"/>
  <c r="F12" i="40" s="1"/>
  <c r="C338" i="40"/>
  <c r="P293" i="40"/>
  <c r="O293" i="40"/>
  <c r="J293" i="40"/>
  <c r="N293" i="40" s="1"/>
  <c r="I293" i="40"/>
  <c r="H293" i="40"/>
  <c r="H11" i="40" s="1"/>
  <c r="G293" i="40"/>
  <c r="G11" i="40" s="1"/>
  <c r="F293" i="40"/>
  <c r="E293" i="40"/>
  <c r="C293" i="40"/>
  <c r="F286" i="40"/>
  <c r="E286" i="40"/>
  <c r="F284" i="40"/>
  <c r="E284" i="40"/>
  <c r="F282" i="40"/>
  <c r="E282" i="40"/>
  <c r="F281" i="40"/>
  <c r="E281" i="40"/>
  <c r="F280" i="40"/>
  <c r="E280" i="40"/>
  <c r="F279" i="40"/>
  <c r="E279" i="40"/>
  <c r="F278" i="40"/>
  <c r="E278" i="40"/>
  <c r="F277" i="40"/>
  <c r="E277" i="40"/>
  <c r="F276" i="40"/>
  <c r="E276" i="40"/>
  <c r="F275" i="40"/>
  <c r="E275" i="40"/>
  <c r="F274" i="40"/>
  <c r="E274" i="40"/>
  <c r="F273" i="40"/>
  <c r="F272" i="40"/>
  <c r="E272" i="40"/>
  <c r="F271" i="40"/>
  <c r="E271" i="40"/>
  <c r="F270" i="40"/>
  <c r="E270" i="40"/>
  <c r="F269" i="40"/>
  <c r="E269" i="40"/>
  <c r="F268" i="40"/>
  <c r="E268" i="40"/>
  <c r="F267" i="40"/>
  <c r="E267" i="40"/>
  <c r="F266" i="40"/>
  <c r="E266" i="40"/>
  <c r="F265" i="40"/>
  <c r="E265" i="40"/>
  <c r="F264" i="40"/>
  <c r="E264" i="40"/>
  <c r="F263" i="40"/>
  <c r="E263" i="40"/>
  <c r="F262" i="40"/>
  <c r="E262" i="40"/>
  <c r="F261" i="40"/>
  <c r="E261" i="40"/>
  <c r="F260" i="40"/>
  <c r="E260" i="40"/>
  <c r="F259" i="40"/>
  <c r="E259" i="40"/>
  <c r="F258" i="40"/>
  <c r="E258" i="40"/>
  <c r="F257" i="40"/>
  <c r="E257" i="40"/>
  <c r="F256" i="40"/>
  <c r="E256" i="40"/>
  <c r="F255" i="40"/>
  <c r="E255" i="40"/>
  <c r="F254" i="40"/>
  <c r="E254" i="40"/>
  <c r="F253" i="40"/>
  <c r="E253" i="40"/>
  <c r="F252" i="40"/>
  <c r="E252" i="40"/>
  <c r="Q229" i="40"/>
  <c r="I227" i="40"/>
  <c r="H227" i="40"/>
  <c r="H10" i="40" s="1"/>
  <c r="G227" i="40"/>
  <c r="C227" i="40"/>
  <c r="I212" i="40"/>
  <c r="O212" i="40" s="1"/>
  <c r="H212" i="40"/>
  <c r="H9" i="40" s="1"/>
  <c r="G212" i="40"/>
  <c r="F212" i="40"/>
  <c r="E212" i="40"/>
  <c r="C212" i="40"/>
  <c r="I205" i="40"/>
  <c r="F205" i="40"/>
  <c r="F192" i="40" s="1"/>
  <c r="F8" i="40" s="1"/>
  <c r="I204" i="40"/>
  <c r="H204" i="40"/>
  <c r="H205" i="40" s="1"/>
  <c r="H192" i="40" s="1"/>
  <c r="H8" i="40" s="1"/>
  <c r="G204" i="40"/>
  <c r="G205" i="40" s="1"/>
  <c r="G192" i="40" s="1"/>
  <c r="G8" i="40" s="1"/>
  <c r="F204" i="40"/>
  <c r="E204" i="40"/>
  <c r="E205" i="40" s="1"/>
  <c r="E192" i="40" s="1"/>
  <c r="E8" i="40" s="1"/>
  <c r="I192" i="40"/>
  <c r="C192" i="40"/>
  <c r="J185" i="40"/>
  <c r="I185" i="40"/>
  <c r="F185" i="40"/>
  <c r="J183" i="40"/>
  <c r="J184" i="40" s="1"/>
  <c r="J170" i="40" s="1"/>
  <c r="J182" i="40"/>
  <c r="I182" i="40"/>
  <c r="H182" i="40"/>
  <c r="G182" i="40"/>
  <c r="F182" i="40"/>
  <c r="E182" i="40"/>
  <c r="J181" i="40"/>
  <c r="I181" i="40"/>
  <c r="H181" i="40"/>
  <c r="G181" i="40"/>
  <c r="F181" i="40"/>
  <c r="E181" i="40"/>
  <c r="J180" i="40"/>
  <c r="I180" i="40"/>
  <c r="H180" i="40"/>
  <c r="H183" i="40" s="1"/>
  <c r="G180" i="40"/>
  <c r="G183" i="40" s="1"/>
  <c r="F180" i="40"/>
  <c r="E180" i="40"/>
  <c r="E185" i="40" s="1"/>
  <c r="C170" i="40"/>
  <c r="J148" i="40"/>
  <c r="I148" i="40"/>
  <c r="F148" i="40"/>
  <c r="J146" i="40"/>
  <c r="I146" i="40"/>
  <c r="H146" i="40"/>
  <c r="H148" i="40" s="1"/>
  <c r="G146" i="40"/>
  <c r="G148" i="40" s="1"/>
  <c r="F146" i="40"/>
  <c r="E146" i="40"/>
  <c r="E148" i="40" s="1"/>
  <c r="J136" i="40"/>
  <c r="I136" i="40"/>
  <c r="I6" i="40" s="1"/>
  <c r="H136" i="40"/>
  <c r="H6" i="40" s="1"/>
  <c r="G136" i="40"/>
  <c r="F136" i="40"/>
  <c r="F6" i="40" s="1"/>
  <c r="E136" i="40"/>
  <c r="E6" i="40" s="1"/>
  <c r="C136" i="40"/>
  <c r="H107" i="40"/>
  <c r="M107" i="40" s="1"/>
  <c r="G107" i="40"/>
  <c r="F107" i="40"/>
  <c r="F5" i="40" s="1"/>
  <c r="E107" i="40"/>
  <c r="C107" i="40"/>
  <c r="AH100" i="40"/>
  <c r="AF100" i="40"/>
  <c r="AD100" i="40"/>
  <c r="AB100" i="40"/>
  <c r="AH99" i="40"/>
  <c r="AF99" i="40"/>
  <c r="AD99" i="40"/>
  <c r="AB99" i="40"/>
  <c r="AH98" i="40"/>
  <c r="AF98" i="40"/>
  <c r="AD98" i="40"/>
  <c r="AB98" i="40"/>
  <c r="AH97" i="40"/>
  <c r="AF97" i="40"/>
  <c r="AD97" i="40"/>
  <c r="AB97" i="40"/>
  <c r="AH96" i="40"/>
  <c r="AF96" i="40"/>
  <c r="AD96" i="40"/>
  <c r="AB96" i="40"/>
  <c r="AH95" i="40"/>
  <c r="AF95" i="40"/>
  <c r="AD95" i="40"/>
  <c r="AB95" i="40"/>
  <c r="AH94" i="40"/>
  <c r="AF94" i="40"/>
  <c r="AD94" i="40"/>
  <c r="AB94" i="40"/>
  <c r="AH93" i="40"/>
  <c r="AF93" i="40"/>
  <c r="AD93" i="40"/>
  <c r="AB93" i="40"/>
  <c r="AH92" i="40"/>
  <c r="AF92" i="40"/>
  <c r="AD92" i="40"/>
  <c r="AB92" i="40"/>
  <c r="AH91" i="40"/>
  <c r="AF91" i="40"/>
  <c r="AD91" i="40"/>
  <c r="AB91" i="40"/>
  <c r="AH90" i="40"/>
  <c r="AF90" i="40"/>
  <c r="AD90" i="40"/>
  <c r="AB90" i="40"/>
  <c r="AH89" i="40"/>
  <c r="AF89" i="40"/>
  <c r="AD89" i="40"/>
  <c r="AB89" i="40"/>
  <c r="AH88" i="40"/>
  <c r="AF88" i="40"/>
  <c r="AD88" i="40"/>
  <c r="AB88" i="40"/>
  <c r="AH87" i="40"/>
  <c r="AF87" i="40"/>
  <c r="AD87" i="40"/>
  <c r="AB87" i="40"/>
  <c r="AH86" i="40"/>
  <c r="AF86" i="40"/>
  <c r="AD86" i="40"/>
  <c r="AB86" i="40"/>
  <c r="AH85" i="40"/>
  <c r="AF85" i="40"/>
  <c r="AD85" i="40"/>
  <c r="AB85" i="40"/>
  <c r="AH84" i="40"/>
  <c r="AF84" i="40"/>
  <c r="AD84" i="40"/>
  <c r="AB84" i="40"/>
  <c r="AH83" i="40"/>
  <c r="AF83" i="40"/>
  <c r="AD83" i="40"/>
  <c r="AB83" i="40"/>
  <c r="AH82" i="40"/>
  <c r="AF82" i="40"/>
  <c r="AD82" i="40"/>
  <c r="AB82" i="40"/>
  <c r="AH81" i="40"/>
  <c r="AF81" i="40"/>
  <c r="AD81" i="40"/>
  <c r="AB81" i="40"/>
  <c r="AH80" i="40"/>
  <c r="AF80" i="40"/>
  <c r="AD80" i="40"/>
  <c r="AB80" i="40"/>
  <c r="AH79" i="40"/>
  <c r="AF79" i="40"/>
  <c r="AD79" i="40"/>
  <c r="AB79" i="40"/>
  <c r="AH78" i="40"/>
  <c r="AF78" i="40"/>
  <c r="AD78" i="40"/>
  <c r="AB78" i="40"/>
  <c r="AH77" i="40"/>
  <c r="AF77" i="40"/>
  <c r="AD77" i="40"/>
  <c r="AB77" i="40"/>
  <c r="AH76" i="40"/>
  <c r="AF76" i="40"/>
  <c r="AD76" i="40"/>
  <c r="AB76" i="40"/>
  <c r="AH75" i="40"/>
  <c r="AF75" i="40"/>
  <c r="AD75" i="40"/>
  <c r="AB75" i="40"/>
  <c r="AH74" i="40"/>
  <c r="AF74" i="40"/>
  <c r="AD74" i="40"/>
  <c r="AB74" i="40"/>
  <c r="AH73" i="40"/>
  <c r="AF73" i="40"/>
  <c r="AD73" i="40"/>
  <c r="AB73" i="40"/>
  <c r="AH72" i="40"/>
  <c r="AF72" i="40"/>
  <c r="AD72" i="40"/>
  <c r="AB72" i="40"/>
  <c r="AH71" i="40"/>
  <c r="AF71" i="40"/>
  <c r="AD71" i="40"/>
  <c r="AB71" i="40"/>
  <c r="AH70" i="40"/>
  <c r="AF70" i="40"/>
  <c r="AD70" i="40"/>
  <c r="AB70" i="40"/>
  <c r="AH69" i="40"/>
  <c r="AF69" i="40"/>
  <c r="AD69" i="40"/>
  <c r="AB69" i="40"/>
  <c r="AH68" i="40"/>
  <c r="AF68" i="40"/>
  <c r="AD68" i="40"/>
  <c r="AB68" i="40"/>
  <c r="AH67" i="40"/>
  <c r="AF67" i="40"/>
  <c r="AD67" i="40"/>
  <c r="AB67" i="40"/>
  <c r="AH66" i="40"/>
  <c r="AF66" i="40"/>
  <c r="AD66" i="40"/>
  <c r="AB66" i="40"/>
  <c r="H38" i="40"/>
  <c r="H4" i="40" s="1"/>
  <c r="G38" i="40"/>
  <c r="G4" i="40" s="1"/>
  <c r="F38" i="40"/>
  <c r="F4" i="40" s="1"/>
  <c r="E38" i="40"/>
  <c r="E4" i="40" s="1"/>
  <c r="C38" i="40"/>
  <c r="Q26" i="40"/>
  <c r="J26" i="40"/>
  <c r="I26" i="40"/>
  <c r="H26" i="40"/>
  <c r="F26" i="40"/>
  <c r="E26" i="40"/>
  <c r="Q22" i="40"/>
  <c r="G22" i="40"/>
  <c r="Q21" i="40"/>
  <c r="P21" i="40"/>
  <c r="O21" i="40"/>
  <c r="K21" i="40"/>
  <c r="J21" i="40"/>
  <c r="I21" i="40"/>
  <c r="H21" i="40"/>
  <c r="G21" i="40"/>
  <c r="F21" i="40"/>
  <c r="E21" i="40"/>
  <c r="Q20" i="40"/>
  <c r="P20" i="40"/>
  <c r="O20" i="40"/>
  <c r="N20" i="40"/>
  <c r="M20" i="40"/>
  <c r="L20" i="40"/>
  <c r="K20" i="40"/>
  <c r="J20" i="40"/>
  <c r="I20" i="40"/>
  <c r="H20" i="40"/>
  <c r="G20" i="40"/>
  <c r="F20" i="40"/>
  <c r="E20" i="40"/>
  <c r="Q19" i="40"/>
  <c r="P19" i="40"/>
  <c r="O19" i="40"/>
  <c r="N19" i="40"/>
  <c r="M19" i="40"/>
  <c r="I19" i="40"/>
  <c r="H19" i="40"/>
  <c r="G19" i="40"/>
  <c r="F19" i="40"/>
  <c r="E19" i="40"/>
  <c r="Q18" i="40"/>
  <c r="I18" i="40"/>
  <c r="H18" i="40"/>
  <c r="G18" i="40"/>
  <c r="F18" i="40"/>
  <c r="E18" i="40"/>
  <c r="Q17" i="40"/>
  <c r="L17" i="40"/>
  <c r="K17" i="40"/>
  <c r="J17" i="40"/>
  <c r="I17" i="40"/>
  <c r="H17" i="40"/>
  <c r="G17" i="40"/>
  <c r="F17" i="40"/>
  <c r="E17" i="40"/>
  <c r="Q16" i="40"/>
  <c r="P16" i="40"/>
  <c r="M16" i="40"/>
  <c r="L16" i="40"/>
  <c r="K16" i="40"/>
  <c r="J16" i="40"/>
  <c r="I16" i="40"/>
  <c r="H16" i="40"/>
  <c r="G16" i="40"/>
  <c r="F16" i="40"/>
  <c r="E16" i="40"/>
  <c r="Q15" i="40"/>
  <c r="H15" i="40"/>
  <c r="G15" i="40"/>
  <c r="E15" i="40"/>
  <c r="Q14" i="40"/>
  <c r="I14" i="40"/>
  <c r="H14" i="40"/>
  <c r="G14" i="40"/>
  <c r="Q13" i="40"/>
  <c r="I13" i="40"/>
  <c r="H13" i="40"/>
  <c r="G13" i="40"/>
  <c r="Q12" i="40"/>
  <c r="I12" i="40"/>
  <c r="H12" i="40"/>
  <c r="G12" i="40"/>
  <c r="E12" i="40"/>
  <c r="Q11" i="40"/>
  <c r="J11" i="40"/>
  <c r="I11" i="40"/>
  <c r="F11" i="40"/>
  <c r="E11" i="40"/>
  <c r="Q10" i="40"/>
  <c r="P10" i="40"/>
  <c r="I10" i="40"/>
  <c r="G10" i="40"/>
  <c r="F10" i="40"/>
  <c r="E10" i="40"/>
  <c r="Q9" i="40"/>
  <c r="G9" i="40"/>
  <c r="F9" i="40"/>
  <c r="E9" i="40"/>
  <c r="Q8" i="40"/>
  <c r="I8" i="40"/>
  <c r="Q7" i="40"/>
  <c r="Q6" i="40"/>
  <c r="J6" i="40"/>
  <c r="G6" i="40"/>
  <c r="Q5" i="40"/>
  <c r="H5" i="40"/>
  <c r="G5" i="40"/>
  <c r="E5" i="40"/>
  <c r="I4" i="40"/>
  <c r="C246" i="36"/>
  <c r="C231" i="36"/>
  <c r="C245" i="36"/>
  <c r="C244" i="36"/>
  <c r="C243" i="36"/>
  <c r="E185" i="36"/>
  <c r="F185" i="36"/>
  <c r="G185" i="36"/>
  <c r="H185" i="36"/>
  <c r="I185" i="36"/>
  <c r="D185" i="36"/>
  <c r="E219" i="36"/>
  <c r="F219" i="36"/>
  <c r="G219" i="36"/>
  <c r="H219" i="36"/>
  <c r="I219" i="36"/>
  <c r="D219" i="36"/>
  <c r="E215" i="36"/>
  <c r="F215" i="36"/>
  <c r="G215" i="36"/>
  <c r="H215" i="36"/>
  <c r="I215" i="36"/>
  <c r="D215" i="36"/>
  <c r="E211" i="36"/>
  <c r="F211" i="36"/>
  <c r="G211" i="36"/>
  <c r="H211" i="36"/>
  <c r="I211" i="36"/>
  <c r="D211" i="36"/>
  <c r="E207" i="36"/>
  <c r="F207" i="36"/>
  <c r="G207" i="36"/>
  <c r="H207" i="36"/>
  <c r="I207" i="36"/>
  <c r="D207" i="36"/>
  <c r="E203" i="36"/>
  <c r="F203" i="36"/>
  <c r="G203" i="36"/>
  <c r="H203" i="36"/>
  <c r="I203" i="36"/>
  <c r="D203" i="36"/>
  <c r="E199" i="36"/>
  <c r="F199" i="36"/>
  <c r="G199" i="36"/>
  <c r="H199" i="36"/>
  <c r="I199" i="36"/>
  <c r="D199" i="36"/>
  <c r="E187" i="36"/>
  <c r="F187" i="36"/>
  <c r="G187" i="36"/>
  <c r="H187" i="36"/>
  <c r="I187" i="36"/>
  <c r="D187" i="36"/>
  <c r="H79" i="28"/>
  <c r="M59" i="28"/>
  <c r="K59" i="28"/>
  <c r="L59" i="28"/>
  <c r="J59" i="28"/>
  <c r="I59" i="28"/>
  <c r="H59" i="28"/>
  <c r="H38" i="28"/>
  <c r="H39" i="28"/>
  <c r="H40" i="28"/>
  <c r="Q340" i="40" l="1"/>
  <c r="P12" i="40"/>
  <c r="P192" i="40"/>
  <c r="O192" i="40"/>
  <c r="N192" i="40"/>
  <c r="M192" i="40"/>
  <c r="L192" i="40"/>
  <c r="K192" i="40"/>
  <c r="J53" i="40"/>
  <c r="K53" i="40" s="1"/>
  <c r="L53" i="40" s="1"/>
  <c r="M53" i="40" s="1"/>
  <c r="N53" i="40" s="1"/>
  <c r="O53" i="40" s="1"/>
  <c r="P53" i="40" s="1"/>
  <c r="Q53" i="40" s="1"/>
  <c r="G184" i="40"/>
  <c r="G170" i="40" s="1"/>
  <c r="G7" i="40" s="1"/>
  <c r="N107" i="40"/>
  <c r="N5" i="40" s="1"/>
  <c r="O382" i="40"/>
  <c r="O13" i="40" s="1"/>
  <c r="N340" i="40"/>
  <c r="P295" i="40"/>
  <c r="K338" i="40"/>
  <c r="K12" i="40" s="1"/>
  <c r="J383" i="40"/>
  <c r="J12" i="40"/>
  <c r="O107" i="40"/>
  <c r="I183" i="40"/>
  <c r="I184" i="40" s="1"/>
  <c r="I170" i="40" s="1"/>
  <c r="I7" i="40" s="1"/>
  <c r="G185" i="40"/>
  <c r="Q295" i="40"/>
  <c r="L338" i="40"/>
  <c r="P382" i="40"/>
  <c r="K383" i="40"/>
  <c r="H605" i="40"/>
  <c r="J591" i="40" s="1"/>
  <c r="J48" i="40"/>
  <c r="O227" i="40"/>
  <c r="I15" i="40"/>
  <c r="H184" i="40"/>
  <c r="H170" i="40" s="1"/>
  <c r="H7" i="40" s="1"/>
  <c r="P212" i="40"/>
  <c r="H185" i="40"/>
  <c r="M338" i="40"/>
  <c r="L383" i="40"/>
  <c r="M555" i="40"/>
  <c r="N227" i="40"/>
  <c r="N10" i="40" s="1"/>
  <c r="M227" i="40"/>
  <c r="N229" i="40" s="1"/>
  <c r="N386" i="40"/>
  <c r="O338" i="40"/>
  <c r="P340" i="40" s="1"/>
  <c r="N383" i="40"/>
  <c r="N14" i="40" s="1"/>
  <c r="M15" i="40"/>
  <c r="N555" i="40"/>
  <c r="O383" i="40"/>
  <c r="N449" i="40"/>
  <c r="P555" i="40"/>
  <c r="K632" i="40"/>
  <c r="K670" i="40"/>
  <c r="F183" i="40"/>
  <c r="F184" i="40" s="1"/>
  <c r="F170" i="40" s="1"/>
  <c r="F7" i="40" s="1"/>
  <c r="O10" i="40"/>
  <c r="O194" i="40"/>
  <c r="P214" i="40"/>
  <c r="N11" i="40"/>
  <c r="O706" i="40"/>
  <c r="N706" i="40"/>
  <c r="M706" i="40"/>
  <c r="P706" i="40"/>
  <c r="L706" i="40"/>
  <c r="J22" i="40"/>
  <c r="K706" i="40"/>
  <c r="M5" i="40"/>
  <c r="N170" i="40"/>
  <c r="M170" i="40"/>
  <c r="P170" i="40"/>
  <c r="O170" i="40"/>
  <c r="L170" i="40"/>
  <c r="J7" i="40"/>
  <c r="K170" i="40"/>
  <c r="O295" i="40"/>
  <c r="M591" i="40"/>
  <c r="L591" i="40"/>
  <c r="O591" i="40"/>
  <c r="K591" i="40"/>
  <c r="N591" i="40"/>
  <c r="J18" i="40"/>
  <c r="P591" i="40"/>
  <c r="O9" i="40"/>
  <c r="M449" i="40"/>
  <c r="N13" i="40"/>
  <c r="Q386" i="40"/>
  <c r="P14" i="40"/>
  <c r="P386" i="40"/>
  <c r="N8" i="40"/>
  <c r="L15" i="40"/>
  <c r="L229" i="40"/>
  <c r="L10" i="40"/>
  <c r="L731" i="40"/>
  <c r="N17" i="40"/>
  <c r="L19" i="40"/>
  <c r="I107" i="40"/>
  <c r="E183" i="40"/>
  <c r="E184" i="40" s="1"/>
  <c r="E170" i="40" s="1"/>
  <c r="E7" i="40" s="1"/>
  <c r="K212" i="40"/>
  <c r="J382" i="40"/>
  <c r="P632" i="40"/>
  <c r="P670" i="40"/>
  <c r="O555" i="40"/>
  <c r="M632" i="40"/>
  <c r="P107" i="40"/>
  <c r="J212" i="40"/>
  <c r="O17" i="40"/>
  <c r="J107" i="40"/>
  <c r="L212" i="40"/>
  <c r="K293" i="40"/>
  <c r="K382" i="40"/>
  <c r="K517" i="40"/>
  <c r="K555" i="40"/>
  <c r="O517" i="40"/>
  <c r="N670" i="40"/>
  <c r="K19" i="40"/>
  <c r="O670" i="40"/>
  <c r="P9" i="40"/>
  <c r="P17" i="40"/>
  <c r="L21" i="40"/>
  <c r="K107" i="40"/>
  <c r="M212" i="40"/>
  <c r="L293" i="40"/>
  <c r="L382" i="40"/>
  <c r="P614" i="40"/>
  <c r="N109" i="40"/>
  <c r="P194" i="40"/>
  <c r="Q214" i="40"/>
  <c r="J138" i="40"/>
  <c r="I9" i="40"/>
  <c r="O11" i="40"/>
  <c r="N16" i="40"/>
  <c r="M21" i="40"/>
  <c r="L107" i="40"/>
  <c r="N212" i="40"/>
  <c r="M293" i="40"/>
  <c r="K340" i="40"/>
  <c r="M382" i="40"/>
  <c r="L449" i="40"/>
  <c r="K386" i="40"/>
  <c r="K614" i="40"/>
  <c r="J19" i="40"/>
  <c r="P517" i="40"/>
  <c r="O8" i="40"/>
  <c r="P11" i="40"/>
  <c r="P385" i="40" l="1"/>
  <c r="O386" i="40"/>
  <c r="O14" i="40"/>
  <c r="P229" i="40"/>
  <c r="O229" i="40"/>
  <c r="M386" i="40"/>
  <c r="L14" i="40"/>
  <c r="O109" i="40"/>
  <c r="O5" i="40"/>
  <c r="Q194" i="40"/>
  <c r="P8" i="40"/>
  <c r="P449" i="40"/>
  <c r="O15" i="40"/>
  <c r="M340" i="40"/>
  <c r="M12" i="40"/>
  <c r="M229" i="40"/>
  <c r="L386" i="40"/>
  <c r="K14" i="40"/>
  <c r="J386" i="40"/>
  <c r="J14" i="40"/>
  <c r="Q449" i="40"/>
  <c r="P15" i="40"/>
  <c r="M10" i="40"/>
  <c r="O385" i="40"/>
  <c r="O12" i="40"/>
  <c r="O340" i="40"/>
  <c r="Q385" i="40"/>
  <c r="P13" i="40"/>
  <c r="O449" i="40"/>
  <c r="N15" i="40"/>
  <c r="L340" i="40"/>
  <c r="L12" i="40"/>
  <c r="J15" i="40"/>
  <c r="P109" i="40"/>
  <c r="P5" i="40"/>
  <c r="Q109" i="40"/>
  <c r="L7" i="40"/>
  <c r="L172" i="40"/>
  <c r="K13" i="40"/>
  <c r="K385" i="40"/>
  <c r="K18" i="40"/>
  <c r="K593" i="40"/>
  <c r="L22" i="40"/>
  <c r="L708" i="40"/>
  <c r="M295" i="40"/>
  <c r="M11" i="40"/>
  <c r="I5" i="40"/>
  <c r="I109" i="40"/>
  <c r="O593" i="40"/>
  <c r="O18" i="40"/>
  <c r="Q708" i="40"/>
  <c r="P708" i="40"/>
  <c r="P22" i="40"/>
  <c r="O136" i="40"/>
  <c r="N136" i="40"/>
  <c r="M136" i="40"/>
  <c r="L136" i="40"/>
  <c r="K136" i="40"/>
  <c r="P136" i="40"/>
  <c r="L18" i="40"/>
  <c r="L593" i="40"/>
  <c r="M172" i="40"/>
  <c r="M7" i="40"/>
  <c r="N214" i="40"/>
  <c r="N9" i="40"/>
  <c r="J10" i="40"/>
  <c r="K194" i="40"/>
  <c r="K8" i="40"/>
  <c r="M18" i="40"/>
  <c r="M593" i="40"/>
  <c r="N7" i="40"/>
  <c r="N172" i="40"/>
  <c r="N708" i="40"/>
  <c r="N22" i="40"/>
  <c r="M194" i="40"/>
  <c r="M8" i="40"/>
  <c r="M214" i="40"/>
  <c r="M9" i="40"/>
  <c r="J109" i="40"/>
  <c r="J5" i="40"/>
  <c r="M731" i="40"/>
  <c r="L26" i="40"/>
  <c r="N194" i="40"/>
  <c r="O214" i="40"/>
  <c r="O708" i="40"/>
  <c r="O22" i="40"/>
  <c r="M13" i="40"/>
  <c r="M385" i="40"/>
  <c r="J8" i="40"/>
  <c r="N593" i="40"/>
  <c r="N18" i="40"/>
  <c r="N385" i="40"/>
  <c r="O172" i="40"/>
  <c r="O7" i="40"/>
  <c r="L385" i="40"/>
  <c r="L13" i="40"/>
  <c r="K295" i="40"/>
  <c r="K11" i="40"/>
  <c r="P172" i="40"/>
  <c r="Q172" i="40"/>
  <c r="P7" i="40"/>
  <c r="K229" i="40"/>
  <c r="K10" i="40"/>
  <c r="L295" i="40"/>
  <c r="L11" i="40"/>
  <c r="L9" i="40"/>
  <c r="L214" i="40"/>
  <c r="M708" i="40"/>
  <c r="M22" i="40"/>
  <c r="L109" i="40"/>
  <c r="L5" i="40"/>
  <c r="L194" i="40"/>
  <c r="L8" i="40"/>
  <c r="J385" i="40"/>
  <c r="J13" i="40"/>
  <c r="Q593" i="40"/>
  <c r="P18" i="40"/>
  <c r="P593" i="40"/>
  <c r="K7" i="40"/>
  <c r="K172" i="40"/>
  <c r="M109" i="40"/>
  <c r="J4" i="40"/>
  <c r="K38" i="40"/>
  <c r="K15" i="40"/>
  <c r="K449" i="40"/>
  <c r="K109" i="40"/>
  <c r="K5" i="40"/>
  <c r="J9" i="40"/>
  <c r="J214" i="40"/>
  <c r="K214" i="40"/>
  <c r="K9" i="40"/>
  <c r="K708" i="40"/>
  <c r="K22" i="40"/>
  <c r="N295" i="40"/>
  <c r="M23" i="40" l="1"/>
  <c r="N140" i="40"/>
  <c r="N6" i="40"/>
  <c r="O140" i="40"/>
  <c r="O6" i="40"/>
  <c r="K4" i="40"/>
  <c r="L38" i="40"/>
  <c r="P140" i="40"/>
  <c r="P6" i="40"/>
  <c r="Q140" i="40"/>
  <c r="N23" i="40"/>
  <c r="N731" i="40"/>
  <c r="M26" i="40"/>
  <c r="K140" i="40"/>
  <c r="K6" i="40"/>
  <c r="L6" i="40"/>
  <c r="L140" i="40"/>
  <c r="M140" i="40"/>
  <c r="M6" i="40"/>
  <c r="K188" i="36"/>
  <c r="H100" i="28"/>
  <c r="K189" i="36"/>
  <c r="H20" i="28"/>
  <c r="H21" i="28" s="1"/>
  <c r="D27" i="28"/>
  <c r="M20" i="28"/>
  <c r="O23" i="40" l="1"/>
  <c r="M38" i="40"/>
  <c r="L4" i="40"/>
  <c r="O731" i="40"/>
  <c r="N26" i="40"/>
  <c r="I100" i="28"/>
  <c r="C236" i="36"/>
  <c r="C237" i="36"/>
  <c r="C235" i="36"/>
  <c r="C229" i="36"/>
  <c r="C230" i="36"/>
  <c r="C228" i="36"/>
  <c r="P23" i="40" l="1"/>
  <c r="P731" i="40"/>
  <c r="P26" i="40" s="1"/>
  <c r="O26" i="40"/>
  <c r="M4" i="40"/>
  <c r="N38" i="40"/>
  <c r="J100" i="28"/>
  <c r="C232" i="36"/>
  <c r="D90" i="28" s="1"/>
  <c r="C238" i="36"/>
  <c r="D89" i="28" s="1"/>
  <c r="N4" i="40" l="1"/>
  <c r="O38" i="40"/>
  <c r="K100" i="28"/>
  <c r="P38" i="40" l="1"/>
  <c r="O4" i="40"/>
  <c r="L100" i="28"/>
  <c r="K220" i="36"/>
  <c r="L220" i="36"/>
  <c r="M220" i="36"/>
  <c r="N220" i="36"/>
  <c r="O220" i="36"/>
  <c r="P220" i="36"/>
  <c r="K221" i="36"/>
  <c r="L221" i="36"/>
  <c r="M221" i="36"/>
  <c r="N221" i="36"/>
  <c r="O221" i="36"/>
  <c r="P221" i="36"/>
  <c r="K216" i="36"/>
  <c r="L216" i="36"/>
  <c r="M216" i="36"/>
  <c r="N216" i="36"/>
  <c r="O216" i="36"/>
  <c r="P216" i="36"/>
  <c r="K217" i="36"/>
  <c r="L217" i="36"/>
  <c r="M217" i="36"/>
  <c r="N217" i="36"/>
  <c r="O217" i="36"/>
  <c r="P217" i="36"/>
  <c r="K218" i="36"/>
  <c r="L218" i="36"/>
  <c r="M218" i="36"/>
  <c r="N218" i="36"/>
  <c r="O218" i="36"/>
  <c r="P218" i="36"/>
  <c r="K212" i="36"/>
  <c r="L212" i="36"/>
  <c r="M212" i="36"/>
  <c r="N212" i="36"/>
  <c r="O212" i="36"/>
  <c r="P212" i="36"/>
  <c r="K213" i="36"/>
  <c r="L213" i="36"/>
  <c r="M213" i="36"/>
  <c r="N213" i="36"/>
  <c r="O213" i="36"/>
  <c r="P213" i="36"/>
  <c r="K214" i="36"/>
  <c r="L214" i="36"/>
  <c r="M214" i="36"/>
  <c r="N214" i="36"/>
  <c r="O214" i="36"/>
  <c r="P214" i="36"/>
  <c r="K208" i="36"/>
  <c r="L208" i="36"/>
  <c r="M208" i="36"/>
  <c r="N208" i="36"/>
  <c r="O208" i="36"/>
  <c r="P208" i="36"/>
  <c r="K209" i="36"/>
  <c r="L209" i="36"/>
  <c r="M209" i="36"/>
  <c r="N209" i="36"/>
  <c r="O209" i="36"/>
  <c r="P209" i="36"/>
  <c r="K210" i="36"/>
  <c r="L210" i="36"/>
  <c r="M210" i="36"/>
  <c r="N210" i="36"/>
  <c r="O210" i="36"/>
  <c r="P210" i="36"/>
  <c r="K204" i="36"/>
  <c r="L204" i="36"/>
  <c r="M204" i="36"/>
  <c r="N204" i="36"/>
  <c r="O204" i="36"/>
  <c r="P204" i="36"/>
  <c r="K205" i="36"/>
  <c r="L205" i="36"/>
  <c r="M205" i="36"/>
  <c r="N205" i="36"/>
  <c r="O205" i="36"/>
  <c r="P205" i="36"/>
  <c r="K206" i="36"/>
  <c r="L206" i="36"/>
  <c r="M206" i="36"/>
  <c r="N206" i="36"/>
  <c r="O206" i="36"/>
  <c r="P206" i="36"/>
  <c r="L202" i="36"/>
  <c r="K202" i="36"/>
  <c r="M202" i="36"/>
  <c r="N202" i="36"/>
  <c r="O202" i="36"/>
  <c r="P202" i="36"/>
  <c r="K201" i="36"/>
  <c r="L201" i="36"/>
  <c r="M201" i="36"/>
  <c r="N201" i="36"/>
  <c r="O201" i="36"/>
  <c r="P201" i="36"/>
  <c r="K200" i="36"/>
  <c r="L200" i="36"/>
  <c r="M200" i="36"/>
  <c r="N200" i="36"/>
  <c r="O200" i="36"/>
  <c r="P200" i="36"/>
  <c r="O197" i="36"/>
  <c r="P195" i="36"/>
  <c r="P196" i="36"/>
  <c r="P197" i="36"/>
  <c r="P198" i="36"/>
  <c r="K195" i="36"/>
  <c r="L195" i="36"/>
  <c r="M195" i="36"/>
  <c r="N195" i="36"/>
  <c r="O195" i="36"/>
  <c r="K196" i="36"/>
  <c r="L196" i="36"/>
  <c r="M196" i="36"/>
  <c r="N196" i="36"/>
  <c r="O196" i="36"/>
  <c r="K197" i="36"/>
  <c r="L197" i="36"/>
  <c r="M197" i="36"/>
  <c r="N197" i="36"/>
  <c r="K198" i="36"/>
  <c r="L198" i="36"/>
  <c r="M198" i="36"/>
  <c r="N198" i="36"/>
  <c r="O198" i="36"/>
  <c r="K194" i="36"/>
  <c r="L194" i="36"/>
  <c r="M194" i="36"/>
  <c r="N194" i="36"/>
  <c r="O194" i="36"/>
  <c r="P194" i="36"/>
  <c r="K193" i="36"/>
  <c r="P193" i="36"/>
  <c r="L193" i="36"/>
  <c r="M193" i="36"/>
  <c r="N193" i="36"/>
  <c r="O193" i="36"/>
  <c r="P192" i="36"/>
  <c r="L192" i="36"/>
  <c r="M192" i="36"/>
  <c r="N192" i="36"/>
  <c r="O192" i="36"/>
  <c r="K192" i="36"/>
  <c r="L191" i="36"/>
  <c r="M191" i="36"/>
  <c r="N191" i="36"/>
  <c r="O191" i="36"/>
  <c r="P191" i="36"/>
  <c r="K191" i="36"/>
  <c r="P190" i="36"/>
  <c r="L190" i="36"/>
  <c r="M190" i="36"/>
  <c r="N190" i="36"/>
  <c r="O190" i="36"/>
  <c r="K190" i="36"/>
  <c r="P189" i="36"/>
  <c r="L189" i="36"/>
  <c r="M189" i="36"/>
  <c r="N189" i="36"/>
  <c r="O189" i="36"/>
  <c r="M188" i="36"/>
  <c r="N188" i="36"/>
  <c r="O188" i="36"/>
  <c r="P188" i="36"/>
  <c r="L188" i="36"/>
  <c r="M186" i="36"/>
  <c r="N186" i="36"/>
  <c r="O186" i="36"/>
  <c r="P186" i="36"/>
  <c r="L186" i="36"/>
  <c r="K186" i="36"/>
  <c r="H102" i="28"/>
  <c r="I102" i="28"/>
  <c r="H101" i="28"/>
  <c r="H62" i="28"/>
  <c r="B135" i="36"/>
  <c r="B132" i="36"/>
  <c r="B131" i="36"/>
  <c r="B134" i="36" s="1"/>
  <c r="B136" i="36"/>
  <c r="Q38" i="40" l="1"/>
  <c r="Q4" i="40" s="1"/>
  <c r="P4" i="40"/>
  <c r="J102" i="28"/>
  <c r="K102" i="28" s="1"/>
  <c r="L102" i="28" s="1"/>
  <c r="M102" i="28" s="1"/>
  <c r="I101" i="28"/>
  <c r="J101" i="28" s="1"/>
  <c r="K101" i="28" s="1"/>
  <c r="M100" i="28"/>
  <c r="L90" i="28"/>
  <c r="L95" i="28" s="1"/>
  <c r="L104" i="28"/>
  <c r="M90" i="28"/>
  <c r="M95" i="28" s="1"/>
  <c r="M104" i="28"/>
  <c r="K90" i="28"/>
  <c r="K95" i="28" s="1"/>
  <c r="K104" i="28"/>
  <c r="J90" i="28"/>
  <c r="J95" i="28" s="1"/>
  <c r="J104" i="28"/>
  <c r="I90" i="28"/>
  <c r="I95" i="28" s="1"/>
  <c r="I104" i="28"/>
  <c r="H90" i="28"/>
  <c r="H95" i="28" s="1"/>
  <c r="H104" i="28"/>
  <c r="H103" i="28"/>
  <c r="H99" i="28" s="1"/>
  <c r="P219" i="36"/>
  <c r="O219" i="36"/>
  <c r="N207" i="36"/>
  <c r="L211" i="36"/>
  <c r="I91" i="28" s="1"/>
  <c r="N219" i="36"/>
  <c r="K211" i="36"/>
  <c r="H91" i="28" s="1"/>
  <c r="K215" i="36"/>
  <c r="H92" i="28" s="1"/>
  <c r="N199" i="36"/>
  <c r="M199" i="36"/>
  <c r="P215" i="36"/>
  <c r="M92" i="28" s="1"/>
  <c r="L199" i="36"/>
  <c r="O215" i="36"/>
  <c r="L92" i="28" s="1"/>
  <c r="M219" i="36"/>
  <c r="L219" i="36"/>
  <c r="L207" i="36"/>
  <c r="P203" i="36"/>
  <c r="M207" i="36"/>
  <c r="M203" i="36"/>
  <c r="O211" i="36"/>
  <c r="L91" i="28" s="1"/>
  <c r="L215" i="36"/>
  <c r="I92" i="28" s="1"/>
  <c r="L203" i="36"/>
  <c r="N211" i="36"/>
  <c r="K91" i="28" s="1"/>
  <c r="K203" i="36"/>
  <c r="P207" i="36"/>
  <c r="M211" i="36"/>
  <c r="J91" i="28" s="1"/>
  <c r="O207" i="36"/>
  <c r="P199" i="36"/>
  <c r="O199" i="36"/>
  <c r="K187" i="36"/>
  <c r="P187" i="36"/>
  <c r="L187" i="36"/>
  <c r="O187" i="36"/>
  <c r="N187" i="36"/>
  <c r="M187" i="36"/>
  <c r="O203" i="36"/>
  <c r="N203" i="36"/>
  <c r="K207" i="36"/>
  <c r="P211" i="36"/>
  <c r="M91" i="28" s="1"/>
  <c r="N215" i="36"/>
  <c r="K92" i="28" s="1"/>
  <c r="M215" i="36"/>
  <c r="J92" i="28" s="1"/>
  <c r="K219" i="36"/>
  <c r="J62" i="28"/>
  <c r="I62" i="28"/>
  <c r="B133" i="36"/>
  <c r="H131" i="36" s="1"/>
  <c r="L101" i="28" l="1"/>
  <c r="M101" i="28" s="1"/>
  <c r="K97" i="28"/>
  <c r="I96" i="28"/>
  <c r="I103" i="28"/>
  <c r="J103" i="28" s="1"/>
  <c r="K103" i="28" s="1"/>
  <c r="K96" i="28"/>
  <c r="L96" i="28"/>
  <c r="H96" i="28"/>
  <c r="L97" i="28"/>
  <c r="M97" i="28"/>
  <c r="J96" i="28"/>
  <c r="H97" i="28"/>
  <c r="M96" i="28"/>
  <c r="I97" i="28"/>
  <c r="J97" i="28"/>
  <c r="H105" i="28"/>
  <c r="O155" i="36"/>
  <c r="P156" i="36" s="1"/>
  <c r="Q157" i="36" s="1"/>
  <c r="R158" i="36" s="1"/>
  <c r="J105" i="28"/>
  <c r="K105" i="28"/>
  <c r="M105" i="28"/>
  <c r="L105" i="28"/>
  <c r="I105" i="28"/>
  <c r="K107" i="28"/>
  <c r="I106" i="28"/>
  <c r="M106" i="28"/>
  <c r="L106" i="28"/>
  <c r="H107" i="28"/>
  <c r="H106" i="28"/>
  <c r="K106" i="28"/>
  <c r="M107" i="28"/>
  <c r="J106" i="28"/>
  <c r="L107" i="28"/>
  <c r="J107" i="28"/>
  <c r="I107" i="28"/>
  <c r="O134" i="36"/>
  <c r="P135" i="36" s="1"/>
  <c r="Q136" i="36" s="1"/>
  <c r="R137" i="36" s="1"/>
  <c r="S138" i="36" s="1"/>
  <c r="N185" i="36"/>
  <c r="K89" i="28" s="1"/>
  <c r="M185" i="36"/>
  <c r="J89" i="28" s="1"/>
  <c r="O185" i="36"/>
  <c r="L89" i="28" s="1"/>
  <c r="P185" i="36"/>
  <c r="M89" i="28" s="1"/>
  <c r="L185" i="36"/>
  <c r="I89" i="28" s="1"/>
  <c r="K185" i="36"/>
  <c r="K62" i="28"/>
  <c r="G132" i="36"/>
  <c r="F132" i="36"/>
  <c r="B130" i="36"/>
  <c r="E132" i="36"/>
  <c r="H60" i="36"/>
  <c r="B62" i="36"/>
  <c r="M93" i="28" l="1"/>
  <c r="M108" i="28" s="1"/>
  <c r="M94" i="28"/>
  <c r="L93" i="28"/>
  <c r="L108" i="28" s="1"/>
  <c r="L94" i="28"/>
  <c r="I93" i="28"/>
  <c r="I108" i="28" s="1"/>
  <c r="I94" i="28"/>
  <c r="J109" i="28"/>
  <c r="J94" i="28"/>
  <c r="K109" i="28"/>
  <c r="K94" i="28"/>
  <c r="H89" i="28"/>
  <c r="L103" i="28"/>
  <c r="M103" i="28" s="1"/>
  <c r="M109" i="28"/>
  <c r="I99" i="28"/>
  <c r="K93" i="28"/>
  <c r="J93" i="28"/>
  <c r="L109" i="28"/>
  <c r="I109" i="28"/>
  <c r="D132" i="36"/>
  <c r="H132" i="36" s="1"/>
  <c r="M62" i="28"/>
  <c r="L62" i="28"/>
  <c r="G61" i="36"/>
  <c r="S159" i="36"/>
  <c r="T139" i="36"/>
  <c r="B64" i="36"/>
  <c r="B61" i="36" s="1"/>
  <c r="H93" i="28" l="1"/>
  <c r="H109" i="28"/>
  <c r="H98" i="28"/>
  <c r="J98" i="28"/>
  <c r="K98" i="28"/>
  <c r="H94" i="28"/>
  <c r="I98" i="28"/>
  <c r="M98" i="28"/>
  <c r="L98" i="28"/>
  <c r="J108" i="28"/>
  <c r="K108" i="28"/>
  <c r="H108" i="28"/>
  <c r="J99" i="28"/>
  <c r="F133" i="36"/>
  <c r="G133" i="36"/>
  <c r="E133" i="36"/>
  <c r="T160" i="36"/>
  <c r="K99" i="28" l="1"/>
  <c r="D133" i="36"/>
  <c r="M23" i="28"/>
  <c r="M24" i="28" s="1"/>
  <c r="L20" i="28"/>
  <c r="L21" i="28" s="1"/>
  <c r="O7" i="36" s="1"/>
  <c r="K20" i="28"/>
  <c r="K23" i="28" s="1"/>
  <c r="K24" i="28" s="1"/>
  <c r="J20" i="28"/>
  <c r="J21" i="28" s="1"/>
  <c r="M7" i="36" s="1"/>
  <c r="M32" i="36" s="1"/>
  <c r="I20" i="28"/>
  <c r="I21" i="28" s="1"/>
  <c r="L7" i="36" s="1"/>
  <c r="H24" i="28"/>
  <c r="B7" i="36"/>
  <c r="B5" i="36"/>
  <c r="B4" i="36"/>
  <c r="B6" i="36" s="1"/>
  <c r="B3" i="36" l="1"/>
  <c r="M35" i="36"/>
  <c r="M33" i="36"/>
  <c r="J25" i="28" s="1"/>
  <c r="M99" i="28"/>
  <c r="L99" i="28"/>
  <c r="H133" i="36"/>
  <c r="L32" i="36"/>
  <c r="G4" i="36"/>
  <c r="F5" i="36" s="1"/>
  <c r="L23" i="28"/>
  <c r="L24" i="28" s="1"/>
  <c r="M21" i="28"/>
  <c r="P7" i="36" s="1"/>
  <c r="P32" i="36" s="1"/>
  <c r="I23" i="28"/>
  <c r="I24" i="28" s="1"/>
  <c r="O32" i="36"/>
  <c r="K7" i="36"/>
  <c r="K21" i="28"/>
  <c r="N7" i="36" s="1"/>
  <c r="J23" i="28"/>
  <c r="J24" i="28" s="1"/>
  <c r="O35" i="36" l="1"/>
  <c r="O33" i="36"/>
  <c r="L25" i="28" s="1"/>
  <c r="P35" i="36"/>
  <c r="P33" i="36"/>
  <c r="M25" i="28" s="1"/>
  <c r="L35" i="36"/>
  <c r="L33" i="36"/>
  <c r="I25" i="28" s="1"/>
  <c r="I28" i="28" s="1"/>
  <c r="J28" i="28"/>
  <c r="G134" i="36"/>
  <c r="F134" i="36"/>
  <c r="E134" i="36"/>
  <c r="E5" i="36"/>
  <c r="D5" i="36" s="1"/>
  <c r="J27" i="28"/>
  <c r="K32" i="36"/>
  <c r="N32" i="36"/>
  <c r="K33" i="36" l="1"/>
  <c r="N33" i="36"/>
  <c r="K25" i="28" s="1"/>
  <c r="H25" i="28"/>
  <c r="L28" i="28"/>
  <c r="M28" i="28"/>
  <c r="I27" i="28"/>
  <c r="D134" i="36"/>
  <c r="L27" i="28"/>
  <c r="M27" i="28"/>
  <c r="N35" i="36"/>
  <c r="K35" i="36"/>
  <c r="G5" i="36"/>
  <c r="K28" i="28" l="1"/>
  <c r="H134" i="36"/>
  <c r="H27" i="28"/>
  <c r="K27" i="28"/>
  <c r="F6" i="36"/>
  <c r="E6" i="36"/>
  <c r="F135" i="36" l="1"/>
  <c r="G135" i="36"/>
  <c r="E135" i="36"/>
  <c r="D6" i="36"/>
  <c r="D135" i="36" l="1"/>
  <c r="G6" i="36"/>
  <c r="H135" i="36" l="1"/>
  <c r="F7" i="36"/>
  <c r="E7" i="36"/>
  <c r="F136" i="36" l="1"/>
  <c r="G136" i="36"/>
  <c r="E136" i="36"/>
  <c r="D136" i="36" s="1"/>
  <c r="H136" i="36" s="1"/>
  <c r="D7" i="36"/>
  <c r="F137" i="36" l="1"/>
  <c r="G137" i="36"/>
  <c r="E137" i="36"/>
  <c r="D137" i="36" s="1"/>
  <c r="G7" i="36"/>
  <c r="H137" i="36" l="1"/>
  <c r="F8" i="36"/>
  <c r="E8" i="36"/>
  <c r="F138" i="36" l="1"/>
  <c r="G138" i="36"/>
  <c r="E138" i="36"/>
  <c r="D138" i="36" s="1"/>
  <c r="D8" i="36"/>
  <c r="H138" i="36" l="1"/>
  <c r="G8" i="36"/>
  <c r="G139" i="36" l="1"/>
  <c r="F139" i="36"/>
  <c r="E139" i="36"/>
  <c r="F9" i="36"/>
  <c r="E9" i="36"/>
  <c r="D9" i="36" s="1"/>
  <c r="G9" i="36" s="1"/>
  <c r="D139" i="36" l="1"/>
  <c r="H139" i="36" s="1"/>
  <c r="F10" i="36"/>
  <c r="E10" i="36"/>
  <c r="D10" i="36" s="1"/>
  <c r="G10" i="36" s="1"/>
  <c r="F140" i="36" l="1"/>
  <c r="G140" i="36"/>
  <c r="E140" i="36"/>
  <c r="D140" i="36" s="1"/>
  <c r="H140" i="36" s="1"/>
  <c r="F11" i="36"/>
  <c r="E11" i="36"/>
  <c r="D11" i="36" s="1"/>
  <c r="G11" i="36" s="1"/>
  <c r="F141" i="36" l="1"/>
  <c r="G141" i="36"/>
  <c r="E141" i="36"/>
  <c r="D141" i="36" s="1"/>
  <c r="F12" i="36"/>
  <c r="E12" i="36"/>
  <c r="D12" i="36" s="1"/>
  <c r="G12" i="36" s="1"/>
  <c r="H141" i="36" l="1"/>
  <c r="F13" i="36"/>
  <c r="E13" i="36"/>
  <c r="D13" i="36" s="1"/>
  <c r="G13" i="36" s="1"/>
  <c r="G142" i="36" l="1"/>
  <c r="F142" i="36"/>
  <c r="E142" i="36"/>
  <c r="D142" i="36" s="1"/>
  <c r="F14" i="36"/>
  <c r="E14" i="36"/>
  <c r="D14" i="36" s="1"/>
  <c r="G14" i="36" s="1"/>
  <c r="H142" i="36" l="1"/>
  <c r="F15" i="36"/>
  <c r="E15" i="36"/>
  <c r="D15" i="36" s="1"/>
  <c r="G15" i="36" s="1"/>
  <c r="F143" i="36" l="1"/>
  <c r="K134" i="36" s="1"/>
  <c r="L135" i="36" s="1"/>
  <c r="M136" i="36" s="1"/>
  <c r="N137" i="36" s="1"/>
  <c r="O138" i="36" s="1"/>
  <c r="P139" i="36" s="1"/>
  <c r="G143" i="36"/>
  <c r="K155" i="36" s="1"/>
  <c r="L156" i="36" s="1"/>
  <c r="M157" i="36" s="1"/>
  <c r="N158" i="36" s="1"/>
  <c r="O159" i="36" s="1"/>
  <c r="P160" i="36" s="1"/>
  <c r="E143" i="36"/>
  <c r="D143" i="36" s="1"/>
  <c r="F16" i="36"/>
  <c r="K9" i="36" s="1"/>
  <c r="K16" i="36" s="1"/>
  <c r="E16" i="36"/>
  <c r="D16" i="36" s="1"/>
  <c r="K36" i="36" s="1"/>
  <c r="K42" i="36" s="1"/>
  <c r="K49" i="36" s="1"/>
  <c r="K51" i="36" l="1"/>
  <c r="H26" i="28"/>
  <c r="H143" i="36"/>
  <c r="K23" i="36"/>
  <c r="H22" i="28" s="1"/>
  <c r="G16" i="36"/>
  <c r="L10" i="36"/>
  <c r="F144" i="36" l="1"/>
  <c r="G144" i="36"/>
  <c r="E144" i="36"/>
  <c r="D144" i="36" s="1"/>
  <c r="L37" i="36"/>
  <c r="M38" i="36" s="1"/>
  <c r="F17" i="36"/>
  <c r="E17" i="36"/>
  <c r="D17" i="36" s="1"/>
  <c r="G17" i="36" s="1"/>
  <c r="M11" i="36"/>
  <c r="L17" i="36"/>
  <c r="H144" i="36" l="1"/>
  <c r="L43" i="36"/>
  <c r="F18" i="36"/>
  <c r="E18" i="36"/>
  <c r="D18" i="36" s="1"/>
  <c r="G18" i="36" s="1"/>
  <c r="N39" i="36"/>
  <c r="M44" i="36"/>
  <c r="N12" i="36"/>
  <c r="N19" i="36" s="1"/>
  <c r="M18" i="36"/>
  <c r="F145" i="36" l="1"/>
  <c r="G145" i="36"/>
  <c r="E145" i="36"/>
  <c r="D145" i="36" s="1"/>
  <c r="F19" i="36"/>
  <c r="E19" i="36"/>
  <c r="D19" i="36" s="1"/>
  <c r="O13" i="36"/>
  <c r="N45" i="36"/>
  <c r="O40" i="36"/>
  <c r="H145" i="36" l="1"/>
  <c r="P14" i="36"/>
  <c r="P21" i="36" s="1"/>
  <c r="O20" i="36"/>
  <c r="G19" i="36"/>
  <c r="O46" i="36"/>
  <c r="P41" i="36"/>
  <c r="P47" i="36" s="1"/>
  <c r="F146" i="36" l="1"/>
  <c r="G146" i="36"/>
  <c r="E146" i="36"/>
  <c r="D146" i="36" s="1"/>
  <c r="F20" i="36"/>
  <c r="E20" i="36"/>
  <c r="D20" i="36" s="1"/>
  <c r="H146" i="36" l="1"/>
  <c r="G20" i="36"/>
  <c r="G147" i="36" l="1"/>
  <c r="F147" i="36"/>
  <c r="E147" i="36"/>
  <c r="F21" i="36"/>
  <c r="E21" i="36"/>
  <c r="D21" i="36" s="1"/>
  <c r="G21" i="36" s="1"/>
  <c r="D147" i="36" l="1"/>
  <c r="H147" i="36" s="1"/>
  <c r="F22" i="36"/>
  <c r="E22" i="36"/>
  <c r="D22" i="36" s="1"/>
  <c r="G22" i="36" s="1"/>
  <c r="G148" i="36" l="1"/>
  <c r="F148" i="36"/>
  <c r="E148" i="36"/>
  <c r="D148" i="36" s="1"/>
  <c r="H148" i="36" s="1"/>
  <c r="F23" i="36"/>
  <c r="E23" i="36"/>
  <c r="D23" i="36" s="1"/>
  <c r="G23" i="36" s="1"/>
  <c r="F149" i="36" l="1"/>
  <c r="G149" i="36"/>
  <c r="E149" i="36"/>
  <c r="D149" i="36" s="1"/>
  <c r="H149" i="36" s="1"/>
  <c r="F24" i="36"/>
  <c r="E24" i="36"/>
  <c r="D24" i="36" s="1"/>
  <c r="G24" i="36" s="1"/>
  <c r="G150" i="36" l="1"/>
  <c r="F150" i="36"/>
  <c r="E150" i="36"/>
  <c r="F25" i="36"/>
  <c r="E25" i="36"/>
  <c r="D25" i="36" s="1"/>
  <c r="G25" i="36" s="1"/>
  <c r="D150" i="36" l="1"/>
  <c r="H150" i="36" s="1"/>
  <c r="F26" i="36"/>
  <c r="E26" i="36"/>
  <c r="D26" i="36" s="1"/>
  <c r="G26" i="36" s="1"/>
  <c r="G151" i="36" l="1"/>
  <c r="F151" i="36"/>
  <c r="E151" i="36"/>
  <c r="F27" i="36"/>
  <c r="E27" i="36"/>
  <c r="D27" i="36" s="1"/>
  <c r="G27" i="36" s="1"/>
  <c r="D151" i="36" l="1"/>
  <c r="H151" i="36" s="1"/>
  <c r="F28" i="36"/>
  <c r="L9" i="36" s="1"/>
  <c r="E28" i="36"/>
  <c r="D28" i="36" s="1"/>
  <c r="L36" i="36" s="1"/>
  <c r="G152" i="36" l="1"/>
  <c r="F152" i="36"/>
  <c r="E152" i="36"/>
  <c r="M37" i="36"/>
  <c r="L42" i="36"/>
  <c r="M10" i="36"/>
  <c r="L16" i="36"/>
  <c r="L23" i="36" s="1"/>
  <c r="I22" i="28" s="1"/>
  <c r="G28" i="36"/>
  <c r="L49" i="36" l="1"/>
  <c r="I26" i="28" s="1"/>
  <c r="D152" i="36"/>
  <c r="H152" i="36" s="1"/>
  <c r="F29" i="36"/>
  <c r="E29" i="36"/>
  <c r="D29" i="36" s="1"/>
  <c r="G29" i="36" s="1"/>
  <c r="N11" i="36"/>
  <c r="M17" i="36"/>
  <c r="N38" i="36"/>
  <c r="M43" i="36"/>
  <c r="L51" i="36" l="1"/>
  <c r="F153" i="36"/>
  <c r="G153" i="36"/>
  <c r="E153" i="36"/>
  <c r="O39" i="36"/>
  <c r="N44" i="36"/>
  <c r="O12" i="36"/>
  <c r="O19" i="36" s="1"/>
  <c r="N18" i="36"/>
  <c r="F30" i="36"/>
  <c r="E30" i="36"/>
  <c r="D30" i="36" s="1"/>
  <c r="G30" i="36" s="1"/>
  <c r="D153" i="36" l="1"/>
  <c r="H153" i="36" s="1"/>
  <c r="F31" i="36"/>
  <c r="E31" i="36"/>
  <c r="D31" i="36" s="1"/>
  <c r="G31" i="36" s="1"/>
  <c r="P13" i="36"/>
  <c r="O45" i="36"/>
  <c r="P40" i="36"/>
  <c r="G154" i="36" l="1"/>
  <c r="F154" i="36"/>
  <c r="E154" i="36"/>
  <c r="D154" i="36" s="1"/>
  <c r="H154" i="36" s="1"/>
  <c r="Q14" i="36"/>
  <c r="Q21" i="36" s="1"/>
  <c r="P20" i="36"/>
  <c r="F32" i="36"/>
  <c r="E32" i="36"/>
  <c r="D32" i="36" s="1"/>
  <c r="P46" i="36"/>
  <c r="Q41" i="36"/>
  <c r="Q47" i="36" s="1"/>
  <c r="F155" i="36" l="1"/>
  <c r="L134" i="36" s="1"/>
  <c r="M135" i="36" s="1"/>
  <c r="N136" i="36" s="1"/>
  <c r="O137" i="36" s="1"/>
  <c r="P138" i="36" s="1"/>
  <c r="Q139" i="36" s="1"/>
  <c r="G155" i="36"/>
  <c r="L155" i="36" s="1"/>
  <c r="M156" i="36" s="1"/>
  <c r="N157" i="36" s="1"/>
  <c r="O158" i="36" s="1"/>
  <c r="P159" i="36" s="1"/>
  <c r="Q160" i="36" s="1"/>
  <c r="E155" i="36"/>
  <c r="D155" i="36" s="1"/>
  <c r="H155" i="36" s="1"/>
  <c r="G32" i="36"/>
  <c r="G156" i="36" l="1"/>
  <c r="F156" i="36"/>
  <c r="E156" i="36"/>
  <c r="E33" i="36"/>
  <c r="D33" i="36" s="1"/>
  <c r="G33" i="36" s="1"/>
  <c r="F33" i="36"/>
  <c r="D156" i="36" l="1"/>
  <c r="H156" i="36" s="1"/>
  <c r="F34" i="36"/>
  <c r="E34" i="36"/>
  <c r="D34" i="36" s="1"/>
  <c r="G34" i="36" s="1"/>
  <c r="F157" i="36" l="1"/>
  <c r="G157" i="36"/>
  <c r="E157" i="36"/>
  <c r="E35" i="36"/>
  <c r="D35" i="36" s="1"/>
  <c r="G35" i="36" s="1"/>
  <c r="F35" i="36"/>
  <c r="D157" i="36" l="1"/>
  <c r="H157" i="36" s="1"/>
  <c r="E36" i="36"/>
  <c r="D36" i="36" s="1"/>
  <c r="G36" i="36" s="1"/>
  <c r="F36" i="36"/>
  <c r="G158" i="36" l="1"/>
  <c r="F158" i="36"/>
  <c r="E158" i="36"/>
  <c r="D158" i="36" s="1"/>
  <c r="H158" i="36" s="1"/>
  <c r="E37" i="36"/>
  <c r="D37" i="36" s="1"/>
  <c r="G37" i="36" s="1"/>
  <c r="F37" i="36"/>
  <c r="F159" i="36" l="1"/>
  <c r="G159" i="36"/>
  <c r="E159" i="36"/>
  <c r="F38" i="36"/>
  <c r="E38" i="36"/>
  <c r="D38" i="36" s="1"/>
  <c r="G38" i="36" s="1"/>
  <c r="D159" i="36" l="1"/>
  <c r="H159" i="36" s="1"/>
  <c r="E39" i="36"/>
  <c r="D39" i="36" s="1"/>
  <c r="G39" i="36" s="1"/>
  <c r="F39" i="36"/>
  <c r="G160" i="36" l="1"/>
  <c r="F160" i="36"/>
  <c r="E160" i="36"/>
  <c r="F40" i="36"/>
  <c r="M9" i="36" s="1"/>
  <c r="E40" i="36"/>
  <c r="D40" i="36" s="1"/>
  <c r="M36" i="36" s="1"/>
  <c r="D160" i="36" l="1"/>
  <c r="H160" i="36" s="1"/>
  <c r="N37" i="36"/>
  <c r="M42" i="36"/>
  <c r="M49" i="36" s="1"/>
  <c r="G40" i="36"/>
  <c r="N10" i="36"/>
  <c r="M16" i="36"/>
  <c r="M23" i="36" s="1"/>
  <c r="J22" i="28" s="1"/>
  <c r="F161" i="36" l="1"/>
  <c r="G161" i="36"/>
  <c r="E161" i="36"/>
  <c r="M51" i="36"/>
  <c r="J26" i="28"/>
  <c r="O11" i="36"/>
  <c r="N17" i="36"/>
  <c r="F41" i="36"/>
  <c r="E41" i="36"/>
  <c r="D41" i="36" s="1"/>
  <c r="O38" i="36"/>
  <c r="N43" i="36"/>
  <c r="D161" i="36" l="1"/>
  <c r="P39" i="36"/>
  <c r="O44" i="36"/>
  <c r="G41" i="36"/>
  <c r="P12" i="36"/>
  <c r="O18" i="36"/>
  <c r="H161" i="36" l="1"/>
  <c r="P45" i="36"/>
  <c r="Q40" i="36"/>
  <c r="Q13" i="36"/>
  <c r="P19" i="36"/>
  <c r="E42" i="36"/>
  <c r="D42" i="36" s="1"/>
  <c r="G42" i="36" s="1"/>
  <c r="F42" i="36"/>
  <c r="G162" i="36" l="1"/>
  <c r="F162" i="36"/>
  <c r="E162" i="36"/>
  <c r="D162" i="36" s="1"/>
  <c r="H162" i="36" s="1"/>
  <c r="F43" i="36"/>
  <c r="E43" i="36"/>
  <c r="D43" i="36" s="1"/>
  <c r="G43" i="36" s="1"/>
  <c r="R14" i="36"/>
  <c r="R21" i="36" s="1"/>
  <c r="Q20" i="36"/>
  <c r="R41" i="36"/>
  <c r="R47" i="36" s="1"/>
  <c r="Q46" i="36"/>
  <c r="E163" i="36" l="1"/>
  <c r="D163" i="36" s="1"/>
  <c r="H163" i="36" s="1"/>
  <c r="G163" i="36"/>
  <c r="F163" i="36"/>
  <c r="F44" i="36"/>
  <c r="E44" i="36"/>
  <c r="D44" i="36" s="1"/>
  <c r="G44" i="36" s="1"/>
  <c r="F164" i="36" l="1"/>
  <c r="G164" i="36"/>
  <c r="E164" i="36"/>
  <c r="D164" i="36" s="1"/>
  <c r="H164" i="36" s="1"/>
  <c r="E45" i="36"/>
  <c r="D45" i="36" s="1"/>
  <c r="G45" i="36" s="1"/>
  <c r="F45" i="36"/>
  <c r="F165" i="36" l="1"/>
  <c r="G165" i="36"/>
  <c r="E165" i="36"/>
  <c r="D165" i="36" s="1"/>
  <c r="H165" i="36" s="1"/>
  <c r="E46" i="36"/>
  <c r="D46" i="36" s="1"/>
  <c r="G46" i="36" s="1"/>
  <c r="F46" i="36"/>
  <c r="F166" i="36" l="1"/>
  <c r="G166" i="36"/>
  <c r="E166" i="36"/>
  <c r="D166" i="36" s="1"/>
  <c r="H166" i="36" s="1"/>
  <c r="E47" i="36"/>
  <c r="D47" i="36" s="1"/>
  <c r="G47" i="36" s="1"/>
  <c r="F47" i="36"/>
  <c r="F167" i="36" l="1"/>
  <c r="M134" i="36" s="1"/>
  <c r="N135" i="36" s="1"/>
  <c r="O136" i="36" s="1"/>
  <c r="P137" i="36" s="1"/>
  <c r="Q138" i="36" s="1"/>
  <c r="R139" i="36" s="1"/>
  <c r="G167" i="36"/>
  <c r="M155" i="36" s="1"/>
  <c r="N156" i="36" s="1"/>
  <c r="O157" i="36" s="1"/>
  <c r="P158" i="36" s="1"/>
  <c r="Q159" i="36" s="1"/>
  <c r="R160" i="36" s="1"/>
  <c r="E167" i="36"/>
  <c r="D167" i="36" s="1"/>
  <c r="H167" i="36" s="1"/>
  <c r="E48" i="36"/>
  <c r="D48" i="36" s="1"/>
  <c r="G48" i="36" s="1"/>
  <c r="F48" i="36"/>
  <c r="G168" i="36" l="1"/>
  <c r="F168" i="36"/>
  <c r="E168" i="36"/>
  <c r="D168" i="36" s="1"/>
  <c r="E49" i="36"/>
  <c r="D49" i="36" s="1"/>
  <c r="G49" i="36" s="1"/>
  <c r="F49" i="36"/>
  <c r="H168" i="36" l="1"/>
  <c r="E50" i="36"/>
  <c r="D50" i="36" s="1"/>
  <c r="G50" i="36" s="1"/>
  <c r="F50" i="36"/>
  <c r="F169" i="36" l="1"/>
  <c r="G169" i="36"/>
  <c r="E169" i="36"/>
  <c r="D169" i="36" s="1"/>
  <c r="E51" i="36"/>
  <c r="D51" i="36" s="1"/>
  <c r="G51" i="36" s="1"/>
  <c r="F51" i="36"/>
  <c r="H169" i="36" l="1"/>
  <c r="E52" i="36"/>
  <c r="E4" i="36" s="1"/>
  <c r="F52" i="36"/>
  <c r="F170" i="36" l="1"/>
  <c r="G170" i="36"/>
  <c r="E170" i="36"/>
  <c r="D170" i="36" s="1"/>
  <c r="F4" i="36"/>
  <c r="N9" i="36"/>
  <c r="D52" i="36"/>
  <c r="D4" i="36" s="1"/>
  <c r="H170" i="36" l="1"/>
  <c r="N36" i="36"/>
  <c r="G52" i="36"/>
  <c r="N16" i="36"/>
  <c r="N23" i="36" s="1"/>
  <c r="K22" i="28" s="1"/>
  <c r="O10" i="36"/>
  <c r="G171" i="36" l="1"/>
  <c r="F171" i="36"/>
  <c r="E171" i="36"/>
  <c r="D171" i="36" s="1"/>
  <c r="H171" i="36" s="1"/>
  <c r="O17" i="36"/>
  <c r="O23" i="36" s="1"/>
  <c r="L22" i="28" s="1"/>
  <c r="P11" i="36"/>
  <c r="O37" i="36"/>
  <c r="N42" i="36"/>
  <c r="N49" i="36" s="1"/>
  <c r="G172" i="36" l="1"/>
  <c r="F172" i="36"/>
  <c r="E172" i="36"/>
  <c r="D172" i="36" s="1"/>
  <c r="N51" i="36"/>
  <c r="K26" i="28"/>
  <c r="P38" i="36"/>
  <c r="O43" i="36"/>
  <c r="O49" i="36" s="1"/>
  <c r="P18" i="36"/>
  <c r="P23" i="36" s="1"/>
  <c r="M22" i="28" s="1"/>
  <c r="Q12" i="36"/>
  <c r="Q19" i="36" s="1"/>
  <c r="H172" i="36" l="1"/>
  <c r="O51" i="36"/>
  <c r="L26" i="28"/>
  <c r="Q39" i="36"/>
  <c r="P44" i="36"/>
  <c r="P49" i="36" s="1"/>
  <c r="Q23" i="36"/>
  <c r="N22" i="28" s="1"/>
  <c r="R13" i="36"/>
  <c r="R20" i="36" s="1"/>
  <c r="E173" i="36" l="1"/>
  <c r="D173" i="36" s="1"/>
  <c r="H173" i="36" s="1"/>
  <c r="F173" i="36"/>
  <c r="G173" i="36"/>
  <c r="P51" i="36"/>
  <c r="M26" i="28"/>
  <c r="R23" i="36"/>
  <c r="O22" i="28" s="1"/>
  <c r="S14" i="36"/>
  <c r="Q45" i="36"/>
  <c r="Q49" i="36" s="1"/>
  <c r="R40" i="36"/>
  <c r="F174" i="36" l="1"/>
  <c r="G174" i="36"/>
  <c r="E174" i="36"/>
  <c r="D174" i="36" s="1"/>
  <c r="H174" i="36" s="1"/>
  <c r="Q51" i="36"/>
  <c r="N26" i="28"/>
  <c r="S21" i="36"/>
  <c r="S23" i="36" s="1"/>
  <c r="P22" i="28" s="1"/>
  <c r="S41" i="36"/>
  <c r="S47" i="36" s="1"/>
  <c r="S49" i="36" s="1"/>
  <c r="R46" i="36"/>
  <c r="R49" i="36" s="1"/>
  <c r="O26" i="28" s="1"/>
  <c r="F175" i="36" l="1"/>
  <c r="G175" i="36"/>
  <c r="E175" i="36"/>
  <c r="D175" i="36" s="1"/>
  <c r="H175" i="36" s="1"/>
  <c r="P26" i="28"/>
  <c r="R51" i="36"/>
  <c r="F176" i="36" l="1"/>
  <c r="G176" i="36"/>
  <c r="S51" i="36"/>
  <c r="E176" i="36" l="1"/>
  <c r="D176" i="36" l="1"/>
  <c r="H176" i="36" s="1"/>
  <c r="G13" i="28"/>
  <c r="G10" i="28"/>
  <c r="F177" i="36" l="1"/>
  <c r="G177" i="36"/>
  <c r="J37" i="28" l="1"/>
  <c r="J39" i="28" s="1"/>
  <c r="H71" i="28"/>
  <c r="H74" i="28" s="1"/>
  <c r="H77" i="28" s="1"/>
  <c r="H73" i="28"/>
  <c r="H72" i="28"/>
  <c r="H75" i="28" s="1"/>
  <c r="H78" i="28" s="1"/>
  <c r="L82" i="28"/>
  <c r="L73" i="28"/>
  <c r="L72" i="28"/>
  <c r="L75" i="28" s="1"/>
  <c r="L78" i="28" s="1"/>
  <c r="L79" i="28"/>
  <c r="L71" i="28"/>
  <c r="L74" i="28" s="1"/>
  <c r="L77" i="28" s="1"/>
  <c r="M82" i="28"/>
  <c r="M73" i="28"/>
  <c r="M72" i="28"/>
  <c r="M75" i="28" s="1"/>
  <c r="M78" i="28" s="1"/>
  <c r="M71" i="28"/>
  <c r="M74" i="28" s="1"/>
  <c r="M77" i="28" s="1"/>
  <c r="M79" i="28"/>
  <c r="H82" i="28"/>
  <c r="J82" i="28"/>
  <c r="J71" i="28"/>
  <c r="J74" i="28" s="1"/>
  <c r="J77" i="28" s="1"/>
  <c r="J73" i="28"/>
  <c r="J72" i="28"/>
  <c r="J75" i="28" s="1"/>
  <c r="J78" i="28" s="1"/>
  <c r="J79" i="28"/>
  <c r="I71" i="28"/>
  <c r="I74" i="28" s="1"/>
  <c r="I77" i="28" s="1"/>
  <c r="I82" i="28"/>
  <c r="I79" i="28"/>
  <c r="I73" i="28"/>
  <c r="I72" i="28"/>
  <c r="I75" i="28" s="1"/>
  <c r="I78" i="28" s="1"/>
  <c r="K73" i="28"/>
  <c r="K72" i="28"/>
  <c r="K75" i="28" s="1"/>
  <c r="K78" i="28" s="1"/>
  <c r="K82" i="28"/>
  <c r="K71" i="28"/>
  <c r="K74" i="28" s="1"/>
  <c r="K77" i="28" s="1"/>
  <c r="K79" i="28"/>
  <c r="E177" i="36"/>
  <c r="J43" i="28"/>
  <c r="J40" i="28"/>
  <c r="H43" i="28"/>
  <c r="I38" i="28"/>
  <c r="I39" i="28"/>
  <c r="I43" i="28"/>
  <c r="I40" i="28"/>
  <c r="J38" i="28" l="1"/>
  <c r="H60" i="28"/>
  <c r="J60" i="28"/>
  <c r="K37" i="28"/>
  <c r="M76" i="28"/>
  <c r="J76" i="28"/>
  <c r="I60" i="28"/>
  <c r="K76" i="28"/>
  <c r="I76" i="28"/>
  <c r="L76" i="28"/>
  <c r="H76" i="28"/>
  <c r="D177" i="36"/>
  <c r="H177" i="36" s="1"/>
  <c r="I42" i="28"/>
  <c r="L82" i="36" s="1"/>
  <c r="I45" i="28"/>
  <c r="L154" i="36" s="1"/>
  <c r="H42" i="28"/>
  <c r="K82" i="36" s="1"/>
  <c r="H45" i="28"/>
  <c r="H41" i="28"/>
  <c r="K61" i="36" s="1"/>
  <c r="H44" i="28"/>
  <c r="K133" i="36" s="1"/>
  <c r="J42" i="28"/>
  <c r="M82" i="36" s="1"/>
  <c r="J45" i="28"/>
  <c r="M154" i="36" s="1"/>
  <c r="I44" i="28"/>
  <c r="L133" i="36" s="1"/>
  <c r="I41" i="28"/>
  <c r="L61" i="36" s="1"/>
  <c r="J44" i="28"/>
  <c r="M133" i="36" s="1"/>
  <c r="J41" i="28"/>
  <c r="M61" i="36" s="1"/>
  <c r="M105" i="36" l="1"/>
  <c r="M106" i="36" s="1"/>
  <c r="L105" i="36"/>
  <c r="L106" i="36" s="1"/>
  <c r="K105" i="36"/>
  <c r="L37" i="28"/>
  <c r="K40" i="28"/>
  <c r="K39" i="28"/>
  <c r="K38" i="28"/>
  <c r="K43" i="28"/>
  <c r="M84" i="28"/>
  <c r="K154" i="36"/>
  <c r="K162" i="36" s="1"/>
  <c r="K169" i="36" s="1"/>
  <c r="H51" i="28" s="1"/>
  <c r="F178" i="36"/>
  <c r="G178" i="36"/>
  <c r="N143" i="36"/>
  <c r="Q143" i="36"/>
  <c r="O143" i="36"/>
  <c r="M143" i="36"/>
  <c r="Q164" i="36"/>
  <c r="M164" i="36"/>
  <c r="O164" i="36"/>
  <c r="N164" i="36"/>
  <c r="P163" i="36"/>
  <c r="L163" i="36"/>
  <c r="M163" i="36"/>
  <c r="N163" i="36"/>
  <c r="L142" i="36"/>
  <c r="P142" i="36"/>
  <c r="M142" i="36"/>
  <c r="N142" i="36"/>
  <c r="L141" i="36"/>
  <c r="M141" i="36"/>
  <c r="O141" i="36"/>
  <c r="K141" i="36"/>
  <c r="K148" i="36" s="1"/>
  <c r="H50" i="28" s="1"/>
  <c r="K108" i="36" l="1"/>
  <c r="K106" i="36"/>
  <c r="K41" i="28"/>
  <c r="N61" i="36" s="1"/>
  <c r="K44" i="28"/>
  <c r="N133" i="36" s="1"/>
  <c r="K45" i="28"/>
  <c r="N154" i="36" s="1"/>
  <c r="K42" i="28"/>
  <c r="N82" i="36" s="1"/>
  <c r="N105" i="36" s="1"/>
  <c r="N106" i="36" s="1"/>
  <c r="K60" i="28"/>
  <c r="L43" i="28"/>
  <c r="L40" i="28"/>
  <c r="L39" i="28"/>
  <c r="L38" i="28"/>
  <c r="M162" i="36"/>
  <c r="M169" i="36" s="1"/>
  <c r="J51" i="28" s="1"/>
  <c r="O162" i="36"/>
  <c r="L162" i="36"/>
  <c r="L169" i="36" s="1"/>
  <c r="I51" i="28" s="1"/>
  <c r="H49" i="28"/>
  <c r="L148" i="36"/>
  <c r="I50" i="28" s="1"/>
  <c r="M108" i="36"/>
  <c r="M148" i="36"/>
  <c r="J50" i="28" s="1"/>
  <c r="E178" i="36"/>
  <c r="L108" i="36"/>
  <c r="L60" i="28" l="1"/>
  <c r="N108" i="36"/>
  <c r="M40" i="28"/>
  <c r="M38" i="28"/>
  <c r="M39" i="28"/>
  <c r="M43" i="28"/>
  <c r="L41" i="28"/>
  <c r="O61" i="36" s="1"/>
  <c r="L44" i="28"/>
  <c r="O133" i="36" s="1"/>
  <c r="L45" i="28"/>
  <c r="O154" i="36" s="1"/>
  <c r="L42" i="28"/>
  <c r="O82" i="36" s="1"/>
  <c r="O105" i="36" s="1"/>
  <c r="O106" i="36" s="1"/>
  <c r="O165" i="36"/>
  <c r="N165" i="36"/>
  <c r="R165" i="36"/>
  <c r="P165" i="36"/>
  <c r="N144" i="36"/>
  <c r="R144" i="36"/>
  <c r="O144" i="36"/>
  <c r="P144" i="36"/>
  <c r="I49" i="28"/>
  <c r="J49" i="28"/>
  <c r="D178" i="36"/>
  <c r="H178" i="36" s="1"/>
  <c r="F61" i="36"/>
  <c r="E61" i="36"/>
  <c r="D61" i="36" s="1"/>
  <c r="M60" i="28" l="1"/>
  <c r="M45" i="28"/>
  <c r="P154" i="36" s="1"/>
  <c r="M42" i="28"/>
  <c r="P82" i="36" s="1"/>
  <c r="M44" i="28"/>
  <c r="P133" i="36" s="1"/>
  <c r="M41" i="28"/>
  <c r="P61" i="36" s="1"/>
  <c r="P166" i="36"/>
  <c r="S166" i="36"/>
  <c r="O166" i="36"/>
  <c r="Q166" i="36"/>
  <c r="S145" i="36"/>
  <c r="O145" i="36"/>
  <c r="P145" i="36"/>
  <c r="Q145" i="36"/>
  <c r="F179" i="36"/>
  <c r="G179" i="36"/>
  <c r="E179" i="36"/>
  <c r="E131" i="36" s="1"/>
  <c r="H61" i="36"/>
  <c r="G62" i="36" s="1"/>
  <c r="P105" i="36" l="1"/>
  <c r="P106" i="36" s="1"/>
  <c r="T146" i="36"/>
  <c r="T148" i="36" s="1"/>
  <c r="Q50" i="28" s="1"/>
  <c r="Q146" i="36"/>
  <c r="P146" i="36"/>
  <c r="R146" i="36"/>
  <c r="O108" i="36"/>
  <c r="R167" i="36"/>
  <c r="Q167" i="36"/>
  <c r="T167" i="36"/>
  <c r="T169" i="36" s="1"/>
  <c r="Q51" i="28" s="1"/>
  <c r="P167" i="36"/>
  <c r="G131" i="36"/>
  <c r="N155" i="36"/>
  <c r="F131" i="36"/>
  <c r="N134" i="36"/>
  <c r="D179" i="36"/>
  <c r="E62" i="36"/>
  <c r="F62" i="36"/>
  <c r="Q49" i="28" l="1"/>
  <c r="P108" i="36"/>
  <c r="H179" i="36"/>
  <c r="D131" i="36"/>
  <c r="O135" i="36"/>
  <c r="N141" i="36"/>
  <c r="N148" i="36" s="1"/>
  <c r="K50" i="28" s="1"/>
  <c r="O156" i="36"/>
  <c r="N162" i="36"/>
  <c r="N169" i="36" s="1"/>
  <c r="K51" i="28" s="1"/>
  <c r="D62" i="36"/>
  <c r="K49" i="28" l="1"/>
  <c r="P136" i="36"/>
  <c r="O142" i="36"/>
  <c r="O148" i="36" s="1"/>
  <c r="L50" i="28" s="1"/>
  <c r="P157" i="36"/>
  <c r="O163" i="36"/>
  <c r="O169" i="36" s="1"/>
  <c r="L51" i="28" s="1"/>
  <c r="H62" i="36"/>
  <c r="G63" i="36" s="1"/>
  <c r="Q158" i="36" l="1"/>
  <c r="P164" i="36"/>
  <c r="P169" i="36" s="1"/>
  <c r="M51" i="28" s="1"/>
  <c r="Q137" i="36"/>
  <c r="P143" i="36"/>
  <c r="P148" i="36" s="1"/>
  <c r="M50" i="28" s="1"/>
  <c r="L49" i="28"/>
  <c r="F63" i="36"/>
  <c r="E63" i="36"/>
  <c r="M49" i="28" l="1"/>
  <c r="R138" i="36"/>
  <c r="Q144" i="36"/>
  <c r="Q148" i="36" s="1"/>
  <c r="N50" i="28" s="1"/>
  <c r="R159" i="36"/>
  <c r="Q165" i="36"/>
  <c r="Q169" i="36" s="1"/>
  <c r="N51" i="28" s="1"/>
  <c r="D63" i="36"/>
  <c r="N49" i="28" l="1"/>
  <c r="S139" i="36"/>
  <c r="S146" i="36" s="1"/>
  <c r="S148" i="36" s="1"/>
  <c r="P50" i="28" s="1"/>
  <c r="R145" i="36"/>
  <c r="R148" i="36" s="1"/>
  <c r="O50" i="28" s="1"/>
  <c r="S160" i="36"/>
  <c r="S167" i="36" s="1"/>
  <c r="S169" i="36" s="1"/>
  <c r="P51" i="28" s="1"/>
  <c r="R166" i="36"/>
  <c r="R169" i="36" s="1"/>
  <c r="O51" i="28" s="1"/>
  <c r="H63" i="36"/>
  <c r="G64" i="36" s="1"/>
  <c r="P49" i="28" l="1"/>
  <c r="O49" i="28"/>
  <c r="E64" i="36"/>
  <c r="F64" i="36"/>
  <c r="D64" i="36" l="1"/>
  <c r="H64" i="36" l="1"/>
  <c r="G65" i="36" s="1"/>
  <c r="E65" i="36" l="1"/>
  <c r="D65" i="36" s="1"/>
  <c r="H65" i="36" s="1"/>
  <c r="G66" i="36" s="1"/>
  <c r="F65" i="36"/>
  <c r="E66" i="36" l="1"/>
  <c r="D66" i="36" s="1"/>
  <c r="H66" i="36" s="1"/>
  <c r="G67" i="36" s="1"/>
  <c r="F66" i="36"/>
  <c r="F67" i="36" l="1"/>
  <c r="E67" i="36"/>
  <c r="D67" i="36" s="1"/>
  <c r="H67" i="36" s="1"/>
  <c r="G68" i="36" s="1"/>
  <c r="F68" i="36" l="1"/>
  <c r="E68" i="36"/>
  <c r="D68" i="36" s="1"/>
  <c r="H68" i="36" s="1"/>
  <c r="G69" i="36" s="1"/>
  <c r="E69" i="36" l="1"/>
  <c r="D69" i="36" s="1"/>
  <c r="H69" i="36" s="1"/>
  <c r="G70" i="36" s="1"/>
  <c r="F69" i="36"/>
  <c r="F70" i="36" l="1"/>
  <c r="E70" i="36"/>
  <c r="D70" i="36" s="1"/>
  <c r="H70" i="36" l="1"/>
  <c r="G71" i="36" s="1"/>
  <c r="E71" i="36" l="1"/>
  <c r="D71" i="36" s="1"/>
  <c r="H71" i="36" s="1"/>
  <c r="G72" i="36" s="1"/>
  <c r="K83" i="36" s="1"/>
  <c r="F71" i="36"/>
  <c r="K90" i="36" l="1"/>
  <c r="K97" i="36" s="1"/>
  <c r="H48" i="28" s="1"/>
  <c r="L84" i="36"/>
  <c r="F72" i="36"/>
  <c r="E72" i="36"/>
  <c r="D72" i="36" s="1"/>
  <c r="H72" i="36" l="1"/>
  <c r="G73" i="36" s="1"/>
  <c r="K109" i="36"/>
  <c r="K115" i="36" s="1"/>
  <c r="K122" i="36" s="1"/>
  <c r="K124" i="36" s="1"/>
  <c r="K62" i="36"/>
  <c r="M85" i="36"/>
  <c r="M92" i="36" s="1"/>
  <c r="L91" i="36"/>
  <c r="F73" i="36" l="1"/>
  <c r="E73" i="36"/>
  <c r="D73" i="36" s="1"/>
  <c r="H73" i="36" s="1"/>
  <c r="G74" i="36" s="1"/>
  <c r="N86" i="36"/>
  <c r="N93" i="36" s="1"/>
  <c r="L63" i="36"/>
  <c r="L70" i="36" s="1"/>
  <c r="K69" i="36"/>
  <c r="K76" i="36" s="1"/>
  <c r="H47" i="28" s="1"/>
  <c r="H46" i="28" s="1"/>
  <c r="H53" i="28" l="1"/>
  <c r="O87" i="36"/>
  <c r="O94" i="36" s="1"/>
  <c r="F74" i="36"/>
  <c r="E74" i="36"/>
  <c r="D74" i="36" s="1"/>
  <c r="H74" i="36" l="1"/>
  <c r="G75" i="36" s="1"/>
  <c r="P88" i="36"/>
  <c r="P95" i="36" s="1"/>
  <c r="E75" i="36" l="1"/>
  <c r="D75" i="36" s="1"/>
  <c r="H75" i="36" s="1"/>
  <c r="G76" i="36" s="1"/>
  <c r="F75" i="36"/>
  <c r="F76" i="36" l="1"/>
  <c r="E76" i="36"/>
  <c r="D76" i="36" s="1"/>
  <c r="H76" i="36" s="1"/>
  <c r="G77" i="36" s="1"/>
  <c r="E77" i="36" l="1"/>
  <c r="D77" i="36" s="1"/>
  <c r="H77" i="36" s="1"/>
  <c r="G78" i="36" s="1"/>
  <c r="F77" i="36"/>
  <c r="E78" i="36" l="1"/>
  <c r="D78" i="36" s="1"/>
  <c r="H78" i="36" s="1"/>
  <c r="G79" i="36" s="1"/>
  <c r="F78" i="36"/>
  <c r="F79" i="36" l="1"/>
  <c r="E79" i="36"/>
  <c r="D79" i="36" s="1"/>
  <c r="H79" i="36" s="1"/>
  <c r="G80" i="36" s="1"/>
  <c r="F80" i="36" l="1"/>
  <c r="E80" i="36"/>
  <c r="D80" i="36" s="1"/>
  <c r="H80" i="36" s="1"/>
  <c r="G81" i="36" s="1"/>
  <c r="E81" i="36" l="1"/>
  <c r="D81" i="36" s="1"/>
  <c r="H81" i="36" s="1"/>
  <c r="G82" i="36" s="1"/>
  <c r="F81" i="36"/>
  <c r="F82" i="36" l="1"/>
  <c r="E82" i="36"/>
  <c r="D82" i="36" s="1"/>
  <c r="H82" i="36" s="1"/>
  <c r="G83" i="36" s="1"/>
  <c r="E83" i="36" l="1"/>
  <c r="D83" i="36" s="1"/>
  <c r="H83" i="36" s="1"/>
  <c r="G84" i="36" s="1"/>
  <c r="L83" i="36" s="1"/>
  <c r="F83" i="36"/>
  <c r="L90" i="36" l="1"/>
  <c r="L97" i="36" s="1"/>
  <c r="I48" i="28" s="1"/>
  <c r="M84" i="36"/>
  <c r="M91" i="36" s="1"/>
  <c r="F84" i="36"/>
  <c r="L62" i="36" s="1"/>
  <c r="L69" i="36" s="1"/>
  <c r="E84" i="36"/>
  <c r="D84" i="36" s="1"/>
  <c r="H84" i="36" l="1"/>
  <c r="G85" i="36" s="1"/>
  <c r="L109" i="36"/>
  <c r="L115" i="36" s="1"/>
  <c r="N85" i="36"/>
  <c r="N92" i="36" s="1"/>
  <c r="M63" i="36"/>
  <c r="M70" i="36" s="1"/>
  <c r="F85" i="36" l="1"/>
  <c r="E85" i="36"/>
  <c r="D85" i="36" s="1"/>
  <c r="H85" i="36" s="1"/>
  <c r="M110" i="36"/>
  <c r="O86" i="36"/>
  <c r="O93" i="36" s="1"/>
  <c r="N64" i="36"/>
  <c r="N71" i="36" s="1"/>
  <c r="G86" i="36" l="1"/>
  <c r="E86" i="36"/>
  <c r="D86" i="36" s="1"/>
  <c r="H86" i="36" s="1"/>
  <c r="G87" i="36" s="1"/>
  <c r="F86" i="36"/>
  <c r="M116" i="36"/>
  <c r="N111" i="36"/>
  <c r="P87" i="36"/>
  <c r="P94" i="36" s="1"/>
  <c r="O65" i="36"/>
  <c r="O72" i="36" s="1"/>
  <c r="E87" i="36" l="1"/>
  <c r="D87" i="36" s="1"/>
  <c r="H87" i="36" s="1"/>
  <c r="G88" i="36" s="1"/>
  <c r="F87" i="36"/>
  <c r="N117" i="36"/>
  <c r="O112" i="36"/>
  <c r="Q88" i="36"/>
  <c r="Q95" i="36" s="1"/>
  <c r="P66" i="36"/>
  <c r="E88" i="36" l="1"/>
  <c r="D88" i="36" s="1"/>
  <c r="H88" i="36" s="1"/>
  <c r="G89" i="36" s="1"/>
  <c r="F88" i="36"/>
  <c r="O118" i="36"/>
  <c r="P113" i="36"/>
  <c r="P73" i="36"/>
  <c r="Q67" i="36"/>
  <c r="Q74" i="36" s="1"/>
  <c r="E89" i="36" l="1"/>
  <c r="D89" i="36" s="1"/>
  <c r="H89" i="36" s="1"/>
  <c r="G90" i="36" s="1"/>
  <c r="F89" i="36"/>
  <c r="P119" i="36"/>
  <c r="Q114" i="36"/>
  <c r="Q120" i="36" s="1"/>
  <c r="F90" i="36" l="1"/>
  <c r="E90" i="36"/>
  <c r="D90" i="36" s="1"/>
  <c r="H90" i="36" s="1"/>
  <c r="G91" i="36" s="1"/>
  <c r="F91" i="36" l="1"/>
  <c r="E91" i="36"/>
  <c r="D91" i="36" s="1"/>
  <c r="H91" i="36" s="1"/>
  <c r="G92" i="36" s="1"/>
  <c r="E92" i="36" l="1"/>
  <c r="D92" i="36" s="1"/>
  <c r="H92" i="36" s="1"/>
  <c r="G93" i="36" s="1"/>
  <c r="F92" i="36"/>
  <c r="F93" i="36" l="1"/>
  <c r="E93" i="36"/>
  <c r="D93" i="36" s="1"/>
  <c r="H93" i="36" s="1"/>
  <c r="G94" i="36" s="1"/>
  <c r="E94" i="36" l="1"/>
  <c r="D94" i="36" s="1"/>
  <c r="H94" i="36" s="1"/>
  <c r="G95" i="36" s="1"/>
  <c r="F94" i="36"/>
  <c r="E95" i="36" l="1"/>
  <c r="D95" i="36" s="1"/>
  <c r="H95" i="36" s="1"/>
  <c r="G96" i="36" s="1"/>
  <c r="M83" i="36" s="1"/>
  <c r="F95" i="36"/>
  <c r="M90" i="36" l="1"/>
  <c r="M97" i="36" s="1"/>
  <c r="J48" i="28" s="1"/>
  <c r="N84" i="36"/>
  <c r="N91" i="36" s="1"/>
  <c r="F96" i="36"/>
  <c r="M62" i="36" s="1"/>
  <c r="E96" i="36"/>
  <c r="D96" i="36" s="1"/>
  <c r="H96" i="36" l="1"/>
  <c r="G97" i="36" s="1"/>
  <c r="M109" i="36"/>
  <c r="M115" i="36" s="1"/>
  <c r="M69" i="36"/>
  <c r="N63" i="36"/>
  <c r="N70" i="36" s="1"/>
  <c r="O85" i="36"/>
  <c r="O92" i="36" s="1"/>
  <c r="F97" i="36" l="1"/>
  <c r="E97" i="36"/>
  <c r="D97" i="36" s="1"/>
  <c r="H97" i="36" s="1"/>
  <c r="G98" i="36" s="1"/>
  <c r="N110" i="36"/>
  <c r="P86" i="36"/>
  <c r="P93" i="36" s="1"/>
  <c r="O64" i="36"/>
  <c r="O71" i="36" s="1"/>
  <c r="F98" i="36" l="1"/>
  <c r="E98" i="36"/>
  <c r="D98" i="36" s="1"/>
  <c r="H98" i="36" s="1"/>
  <c r="G99" i="36" s="1"/>
  <c r="N116" i="36"/>
  <c r="O111" i="36"/>
  <c r="Q87" i="36"/>
  <c r="Q94" i="36" s="1"/>
  <c r="P65" i="36"/>
  <c r="P72" i="36" s="1"/>
  <c r="E99" i="36" l="1"/>
  <c r="D99" i="36" s="1"/>
  <c r="H99" i="36" s="1"/>
  <c r="G100" i="36" s="1"/>
  <c r="F99" i="36"/>
  <c r="O117" i="36"/>
  <c r="P112" i="36"/>
  <c r="R88" i="36"/>
  <c r="R95" i="36" s="1"/>
  <c r="Q66" i="36"/>
  <c r="E100" i="36" l="1"/>
  <c r="D100" i="36" s="1"/>
  <c r="H100" i="36" s="1"/>
  <c r="G101" i="36" s="1"/>
  <c r="F100" i="36"/>
  <c r="P118" i="36"/>
  <c r="Q113" i="36"/>
  <c r="Q73" i="36"/>
  <c r="R67" i="36"/>
  <c r="R74" i="36" s="1"/>
  <c r="F101" i="36" l="1"/>
  <c r="E101" i="36"/>
  <c r="D101" i="36" s="1"/>
  <c r="H101" i="36" s="1"/>
  <c r="G102" i="36" s="1"/>
  <c r="Q119" i="36"/>
  <c r="R114" i="36"/>
  <c r="R120" i="36" s="1"/>
  <c r="F102" i="36" l="1"/>
  <c r="E102" i="36"/>
  <c r="D102" i="36" s="1"/>
  <c r="H102" i="36" s="1"/>
  <c r="G103" i="36" s="1"/>
  <c r="F103" i="36" l="1"/>
  <c r="E103" i="36"/>
  <c r="D103" i="36" s="1"/>
  <c r="H103" i="36" s="1"/>
  <c r="G104" i="36" s="1"/>
  <c r="F104" i="36" l="1"/>
  <c r="E104" i="36"/>
  <c r="D104" i="36" s="1"/>
  <c r="H104" i="36" s="1"/>
  <c r="G105" i="36" s="1"/>
  <c r="E105" i="36" l="1"/>
  <c r="D105" i="36" s="1"/>
  <c r="H105" i="36" s="1"/>
  <c r="G106" i="36" s="1"/>
  <c r="F105" i="36"/>
  <c r="F106" i="36" l="1"/>
  <c r="E106" i="36"/>
  <c r="D106" i="36" s="1"/>
  <c r="H106" i="36" s="1"/>
  <c r="G107" i="36" s="1"/>
  <c r="E107" i="36" l="1"/>
  <c r="D107" i="36" s="1"/>
  <c r="H107" i="36" s="1"/>
  <c r="G108" i="36" s="1"/>
  <c r="N83" i="36" s="1"/>
  <c r="F107" i="36"/>
  <c r="O84" i="36" l="1"/>
  <c r="O91" i="36" s="1"/>
  <c r="N90" i="36"/>
  <c r="N97" i="36" s="1"/>
  <c r="K48" i="28" s="1"/>
  <c r="F108" i="36"/>
  <c r="N62" i="36" s="1"/>
  <c r="N69" i="36" s="1"/>
  <c r="E108" i="36"/>
  <c r="D108" i="36" s="1"/>
  <c r="H108" i="36" l="1"/>
  <c r="G109" i="36" s="1"/>
  <c r="N109" i="36"/>
  <c r="P85" i="36"/>
  <c r="P92" i="36" s="1"/>
  <c r="O63" i="36"/>
  <c r="O70" i="36" s="1"/>
  <c r="F109" i="36" l="1"/>
  <c r="E109" i="36"/>
  <c r="D109" i="36" s="1"/>
  <c r="H109" i="36" s="1"/>
  <c r="N115" i="36"/>
  <c r="O110" i="36"/>
  <c r="Q86" i="36"/>
  <c r="Q93" i="36" s="1"/>
  <c r="P64" i="36"/>
  <c r="P71" i="36" s="1"/>
  <c r="G110" i="36" l="1"/>
  <c r="E110" i="36"/>
  <c r="D110" i="36" s="1"/>
  <c r="H110" i="36" s="1"/>
  <c r="G111" i="36" s="1"/>
  <c r="F110" i="36"/>
  <c r="O116" i="36"/>
  <c r="P111" i="36"/>
  <c r="R87" i="36"/>
  <c r="R94" i="36" s="1"/>
  <c r="Q65" i="36"/>
  <c r="Q72" i="36" s="1"/>
  <c r="E111" i="36" l="1"/>
  <c r="D111" i="36" s="1"/>
  <c r="H111" i="36" s="1"/>
  <c r="G112" i="36" s="1"/>
  <c r="F111" i="36"/>
  <c r="P117" i="36"/>
  <c r="Q112" i="36"/>
  <c r="S88" i="36"/>
  <c r="S95" i="36" s="1"/>
  <c r="R66" i="36"/>
  <c r="E112" i="36" l="1"/>
  <c r="D112" i="36" s="1"/>
  <c r="H112" i="36" s="1"/>
  <c r="G113" i="36" s="1"/>
  <c r="F112" i="36"/>
  <c r="Q118" i="36"/>
  <c r="R113" i="36"/>
  <c r="R73" i="36"/>
  <c r="S67" i="36"/>
  <c r="F113" i="36" l="1"/>
  <c r="E113" i="36"/>
  <c r="D113" i="36" s="1"/>
  <c r="H113" i="36" s="1"/>
  <c r="G114" i="36" s="1"/>
  <c r="R119" i="36"/>
  <c r="S114" i="36"/>
  <c r="S74" i="36"/>
  <c r="F114" i="36" l="1"/>
  <c r="E114" i="36"/>
  <c r="D114" i="36" s="1"/>
  <c r="H114" i="36" s="1"/>
  <c r="G115" i="36" s="1"/>
  <c r="S120" i="36"/>
  <c r="F115" i="36" l="1"/>
  <c r="E115" i="36"/>
  <c r="D115" i="36" s="1"/>
  <c r="H115" i="36" s="1"/>
  <c r="G116" i="36" s="1"/>
  <c r="F116" i="36" l="1"/>
  <c r="E116" i="36"/>
  <c r="D116" i="36" s="1"/>
  <c r="H116" i="36" s="1"/>
  <c r="G117" i="36" s="1"/>
  <c r="E117" i="36" l="1"/>
  <c r="D117" i="36" s="1"/>
  <c r="H117" i="36" s="1"/>
  <c r="G118" i="36" s="1"/>
  <c r="F117" i="36"/>
  <c r="F118" i="36" l="1"/>
  <c r="E118" i="36"/>
  <c r="D118" i="36" s="1"/>
  <c r="H118" i="36" s="1"/>
  <c r="G119" i="36" s="1"/>
  <c r="F119" i="36" l="1"/>
  <c r="E119" i="36"/>
  <c r="D119" i="36" s="1"/>
  <c r="H119" i="36" s="1"/>
  <c r="G120" i="36" s="1"/>
  <c r="E120" i="36" l="1"/>
  <c r="E60" i="36" s="1"/>
  <c r="F120" i="36"/>
  <c r="F60" i="36" s="1"/>
  <c r="G60" i="36"/>
  <c r="O83" i="36"/>
  <c r="O62" i="36" l="1"/>
  <c r="O69" i="36" s="1"/>
  <c r="D120" i="36"/>
  <c r="H120" i="36" s="1"/>
  <c r="P84" i="36"/>
  <c r="P91" i="36" s="1"/>
  <c r="O90" i="36"/>
  <c r="O97" i="36" s="1"/>
  <c r="L48" i="28" s="1"/>
  <c r="M64" i="36"/>
  <c r="M71" i="36" s="1"/>
  <c r="L76" i="36"/>
  <c r="I47" i="28" s="1"/>
  <c r="I46" i="28" s="1"/>
  <c r="P63" i="36" l="1"/>
  <c r="P70" i="36" s="1"/>
  <c r="D60" i="36"/>
  <c r="O109" i="36"/>
  <c r="O115" i="36" s="1"/>
  <c r="P97" i="36"/>
  <c r="M48" i="28" s="1"/>
  <c r="Q85" i="36"/>
  <c r="Q92" i="36" s="1"/>
  <c r="L110" i="36"/>
  <c r="L116" i="36" s="1"/>
  <c r="M76" i="36"/>
  <c r="J47" i="28" s="1"/>
  <c r="J46" i="28" s="1"/>
  <c r="N65" i="36"/>
  <c r="N72" i="36" s="1"/>
  <c r="L122" i="36" l="1"/>
  <c r="I53" i="28" s="1"/>
  <c r="Q64" i="36"/>
  <c r="Q71" i="36" s="1"/>
  <c r="Q76" i="36" s="1"/>
  <c r="N47" i="28" s="1"/>
  <c r="P110" i="36"/>
  <c r="Q111" i="36" s="1"/>
  <c r="Q97" i="36"/>
  <c r="N48" i="28" s="1"/>
  <c r="R86" i="36"/>
  <c r="R93" i="36" s="1"/>
  <c r="N76" i="36"/>
  <c r="K47" i="28" s="1"/>
  <c r="K46" i="28" s="1"/>
  <c r="O66" i="36"/>
  <c r="O73" i="36" s="1"/>
  <c r="L124" i="36"/>
  <c r="M111" i="36"/>
  <c r="M117" i="36" s="1"/>
  <c r="M122" i="36" l="1"/>
  <c r="J53" i="28" s="1"/>
  <c r="R65" i="36"/>
  <c r="R72" i="36" s="1"/>
  <c r="R76" i="36" s="1"/>
  <c r="O47" i="28" s="1"/>
  <c r="P116" i="36"/>
  <c r="N46" i="28"/>
  <c r="R112" i="36"/>
  <c r="Q117" i="36"/>
  <c r="Q122" i="36" s="1"/>
  <c r="S87" i="36"/>
  <c r="S94" i="36" s="1"/>
  <c r="R97" i="36"/>
  <c r="O48" i="28" s="1"/>
  <c r="N112" i="36"/>
  <c r="N118" i="36" s="1"/>
  <c r="P67" i="36"/>
  <c r="P74" i="36" s="1"/>
  <c r="O76" i="36"/>
  <c r="L47" i="28" s="1"/>
  <c r="L46" i="28" s="1"/>
  <c r="M124" i="36" l="1"/>
  <c r="N122" i="36"/>
  <c r="K53" i="28" s="1"/>
  <c r="S66" i="36"/>
  <c r="T67" i="36" s="1"/>
  <c r="Q124" i="36"/>
  <c r="N53" i="28"/>
  <c r="O46" i="28"/>
  <c r="R118" i="36"/>
  <c r="R122" i="36" s="1"/>
  <c r="S113" i="36"/>
  <c r="T88" i="36"/>
  <c r="T95" i="36" s="1"/>
  <c r="T97" i="36" s="1"/>
  <c r="Q48" i="28" s="1"/>
  <c r="S97" i="36"/>
  <c r="P48" i="28" s="1"/>
  <c r="P76" i="36"/>
  <c r="M47" i="28" s="1"/>
  <c r="M46" i="28" s="1"/>
  <c r="O113" i="36"/>
  <c r="N124" i="36" l="1"/>
  <c r="S73" i="36"/>
  <c r="S76" i="36" s="1"/>
  <c r="P47" i="28" s="1"/>
  <c r="P46" i="28" s="1"/>
  <c r="R124" i="36"/>
  <c r="O53" i="28"/>
  <c r="O119" i="36"/>
  <c r="O122" i="36" s="1"/>
  <c r="T114" i="36"/>
  <c r="T120" i="36" s="1"/>
  <c r="T122" i="36" s="1"/>
  <c r="S119" i="36"/>
  <c r="S122" i="36" s="1"/>
  <c r="T74" i="36"/>
  <c r="T76" i="36" s="1"/>
  <c r="Q47" i="28" s="1"/>
  <c r="Q46" i="28" s="1"/>
  <c r="P114" i="36"/>
  <c r="Q53" i="28" l="1"/>
  <c r="T124" i="36"/>
  <c r="S124" i="36"/>
  <c r="P53" i="28"/>
  <c r="O124" i="36"/>
  <c r="L53" i="28"/>
  <c r="P120" i="36"/>
  <c r="P122" i="36" s="1"/>
  <c r="P124" i="36" l="1"/>
  <c r="M5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tc={2F27E426-D88D-4545-8C7D-3FFAF3649D45}</author>
  </authors>
  <commentList>
    <comment ref="C37" authorId="0" shapeId="0" xr:uid="{2F27E426-D88D-4545-8C7D-3FFAF3649D45}">
      <text>
        <t>[Threaded comment]
Your version of Excel allows you to read this threaded comment; however, any edits to it will get removed if the file is opened in a newer version of Excel. Learn more: https://go.microsoft.com/fwlink/?linkid=870924
Comment:
    Սա կարելի է արտապատվիրել խորհրդատվական ընկերության, որը կքարտեզագրի և կպատրաստի համապարփակ տվյալների էլեկտրոնային բազա խորհրդատուների պրոֆայլով և կոնտակտային տվյալներով։ Կարելի է 10 մլն դրամ դնել։</t>
      </text>
    </comment>
  </commentList>
</comments>
</file>

<file path=xl/sharedStrings.xml><?xml version="1.0" encoding="utf-8"?>
<sst xmlns="http://schemas.openxmlformats.org/spreadsheetml/2006/main" count="2784" uniqueCount="847">
  <si>
    <t>Դասիչ</t>
  </si>
  <si>
    <t>Նպատակ/Միջոցառում</t>
  </si>
  <si>
    <t>Վերջնարդյունքի/միջանկյալ արդյունքի/ուղղակի արդյունքի ցուցանիշ</t>
  </si>
  <si>
    <t>Ելակետային արժեքներ</t>
  </si>
  <si>
    <t>Թիրախային արժեքներ</t>
  </si>
  <si>
    <t>Տեսլական</t>
  </si>
  <si>
    <t>Վ․1</t>
  </si>
  <si>
    <t>Վ․2</t>
  </si>
  <si>
    <t>Վ․3</t>
  </si>
  <si>
    <t>Վ․4</t>
  </si>
  <si>
    <t>Վ․5</t>
  </si>
  <si>
    <t>Վ․6</t>
  </si>
  <si>
    <t>Վ․7</t>
  </si>
  <si>
    <t>Վ․8</t>
  </si>
  <si>
    <t xml:space="preserve">Ռազմավարական նպատակ 1 </t>
  </si>
  <si>
    <t>1.Մ1</t>
  </si>
  <si>
    <t>1.Մ2</t>
  </si>
  <si>
    <t>1.Մ3</t>
  </si>
  <si>
    <t xml:space="preserve">Ռազմավարական նպատակ 2 </t>
  </si>
  <si>
    <t>2.Մ1</t>
  </si>
  <si>
    <t>2.Մ2</t>
  </si>
  <si>
    <t>2.Մ3</t>
  </si>
  <si>
    <t>2.Մ4</t>
  </si>
  <si>
    <t xml:space="preserve">Ռազմավարական նպատակ 3 </t>
  </si>
  <si>
    <t>3.Մ1</t>
  </si>
  <si>
    <t>3.Մ2</t>
  </si>
  <si>
    <t>3.Մ3</t>
  </si>
  <si>
    <t xml:space="preserve">Ռազմավարական նպատակ 4 </t>
  </si>
  <si>
    <t>4.Մ1</t>
  </si>
  <si>
    <t>4.Մ2</t>
  </si>
  <si>
    <t>4.Մ3</t>
  </si>
  <si>
    <t>4.Մ4</t>
  </si>
  <si>
    <t xml:space="preserve">Ռազմավարական նպատակ 5 </t>
  </si>
  <si>
    <t>5.Մ1</t>
  </si>
  <si>
    <t>Նպատակ/ենթանպատակ</t>
  </si>
  <si>
    <t>Միջոցառում</t>
  </si>
  <si>
    <t>Նկարագրություն</t>
  </si>
  <si>
    <t xml:space="preserve">	Ուղղակի արդյունք	</t>
  </si>
  <si>
    <t>Առաջնահերթություն (բարձր, միջին, ցածր)</t>
  </si>
  <si>
    <t>Կատարող</t>
  </si>
  <si>
    <t>Համակատարող(ներ)</t>
  </si>
  <si>
    <t>Մեկնարկ</t>
  </si>
  <si>
    <t>Վերջնաժամկետ</t>
  </si>
  <si>
    <t>Միջոցառում 1.1.1</t>
  </si>
  <si>
    <t xml:space="preserve">Կիրականացվեն ինկուբացիոն ծրագրեր ՀՀ մարզերում՝ ուղղված նոր ձեռներեցական գաղափարների բացահայտմանը և սկսնակ ձեռնարկությունների աճի ներուժի իրացման համար անհրաժեշտ գիտելիքների և հմտությունների տրամադրմանը։ Ծրագրի հնարավոր շահառուներն են՝  
• անձինք, որոնք դեռևս ձեռներեց չեն, սակայն մտադիր են զբաղվել ձեռներեցությամբ (ունի բիզնես գաղափար, միաժամանակ չի հանդիսանում սեփականատեր որևէ առևտրային կազմակերպությունում), կամ սկսնակ ձեռներեց է (սեփականատեր է ոչ ավելի քան 3 տարի առաջ պետական գրանցում ստացած առևտրային կազմակերպությունում),
• նախատեսում է կամ արդեն իսկ ձեռնարկատիրական գործունեություն է ծավալում Երևանից դուրս: 
Ինկուբացիոն ծրագրերի և դրանց շրջանակում հասանելի ֆինանսական աջակցության վերաբերյալ կիրականացվեն հանրային իրազեկման արշավներ ՀՀ մարզերում։
Ինկուբացիոն ծրագրի նախագծումը և իրականացումը կպատվիրակվի մասնագիտացված կազմակերպությունների՝ հաշվի առնելով նմանատիպ ծրագրերը հաջողությամբ իրականացնելու փորձը։ Մասնագիտացված կազմակերպությունները կվճարվեն ըստ մատուցած ծառայությունների արդյունքների՝ սահմանված կատարողական ցուցանիշների ապահովման պարագայում։ Ելնելով կանանց և երիտասարդների շեշտադրման անհրաժեշտությունից՝ ծրագրի մասնակիցների թվաքանակում իրականացնող կազմակերպությունները պետք է ապահովեն բնակչության վերոնշյալ խմբերի ներգրավվածություն՝ նախապես սահմանված համամասնությամբ: Ընտրված մասնակիցները կներգրավվեն 8-12 շաբաթական կրթական ծրագրում, որը կնպաստի գործարարության կազմակերպման, շուկայավարման, ֆինանսական պլանավորման և կառավարման, թվային գրագիտության և այլ բնագավառներում մասնակիցների հմտությունների զարգացմանը։ Որպես կրթական ծրագրի վերջնարդյունք՝ մասնակիցները կմշակեն և կներկայացնեն գործարար նախագծեր։ </t>
  </si>
  <si>
    <t>1.1.1ա1</t>
  </si>
  <si>
    <t>Ինկուբացիոն ծրագրերի թվաքանակ</t>
  </si>
  <si>
    <t xml:space="preserve"> Ձեռներեցության աջակցության մարմին</t>
  </si>
  <si>
    <t>1.1.1ա2</t>
  </si>
  <si>
    <t>Մարզերի մասնաբաժին, որոնցում իրականացվում են ինկուբացիոն ծրագրեր</t>
  </si>
  <si>
    <t>1.1.1ա3</t>
  </si>
  <si>
    <t>Ինկուբացիոն ծրագրերն ավարտած մասնակիցների թվաքանակ</t>
  </si>
  <si>
    <t>1.1.1ա4</t>
  </si>
  <si>
    <t>Կանանց մասնաբաժին՝ ինկուբացիոն ծրագրերն ավարտածների կազմում</t>
  </si>
  <si>
    <t>Հ/Չ</t>
  </si>
  <si>
    <t>1.1.1ա5</t>
  </si>
  <si>
    <t>Երիտասարդների (20-29 տարիքային խումբ) մասնաբաժին` ինկուբացիոն ծրագրերն ավարտածների կազմում</t>
  </si>
  <si>
    <t>1.1.1ա6</t>
  </si>
  <si>
    <t>Ինկուբացիոն ծրագրերին մասնակցության հայտ ներկայացրած ձեռներեցների թվաքանակ</t>
  </si>
  <si>
    <t>1.1.1ա7</t>
  </si>
  <si>
    <t>Իրազեկման հանրային միջոցառումների/արշավների թվաքանակ</t>
  </si>
  <si>
    <t>Միջոցառում 1.1.2</t>
  </si>
  <si>
    <t>Ինկուբացիոն ծրագրերի շրջանակում բիզնես նախաձեռնությունների խրախուսում՝ վարկերի տոկոսադրույքների սուբսիդավորման միջոցով</t>
  </si>
  <si>
    <t>Ինկուբացիոն ծրագիրը հաջողությամբ ավարտած մասնակիցները մշակված գործարար ծրագրերը ներկայացնում են ծրագրի գործընկեր բանկի կամ վարկային կազմակերպության՝ վարկավորում ստանալու համար։ Ծրագրի շրջանակում կիրականացվի վարկերի տոկոսադրույքների սուբսիդավորում միջինում 9 տոկոսային կետով։ Հիմնվելով ռազմավարությամբ նախանշված տնտեսական աճի որակական չափորոշիչների վրա՝ կանանց, երիտասարդների, հաշմանդամություն ունեցող անձանց, սահմանամերձ բնակավայրերում գործունեություն ծավալող սուբյեկտների, Լեռնային Ղարաբաղից բռնի տեղահանված անձանց համար կիրառվեն ֆինանսական աջակցության տարբերակված պայմաններ։ Վերջինս ենթադրում է տոկոսադրույքի լրացուցիչ տոկոսային կետերի սուբսիդավորում։</t>
  </si>
  <si>
    <t>1.1.2ա1</t>
  </si>
  <si>
    <t>Արտոնյալ վարկավորում ստացած գործարար նախագծերի թվաքանակ</t>
  </si>
  <si>
    <t>ՀՀ ԷՆ</t>
  </si>
  <si>
    <t>Միջոցառում 1.1.3</t>
  </si>
  <si>
    <t>Ինկուբացիոն ծրագրերի շրջանակում բիզնես նախաձեռնությունների խրախուսում՝ վարկային երաշխիքների տրամադրման միջոցով</t>
  </si>
  <si>
    <t>1.1.3ա1</t>
  </si>
  <si>
    <t>Վարկային երաշխիք ստացած գործարար նախագծերի թվաքանակ</t>
  </si>
  <si>
    <t>Միջոցառում 1.1.4</t>
  </si>
  <si>
    <t>Ինկուբացիոն ծրագրերի շրջանակում կանաչ զարգացմանն ուղղված կամ նորարարական լուծումներ ներառող բիզնես նախաձեռնությունների խրախուսում՝ դրամաշնորհների տրամադրման միջոցով</t>
  </si>
  <si>
    <t>1.1.4ա1</t>
  </si>
  <si>
    <t>Դրամաշնորհ ստացած գործարար նախագծերի թվաքանակ</t>
  </si>
  <si>
    <t>Միջոցառում 1.2.1</t>
  </si>
  <si>
    <t>Ձեռներեցների հաջողության պատմությունների հանրայնացում և խրախուսում</t>
  </si>
  <si>
    <t>Ձեռներեցության ազգային թվային հարթակի միջոցով ձեռներեցների հաջողության պատմությունների հանրայնացումը նպատակ ունի նպաստել լայն հանրության շրջանում ձեռներեցության գաղափարների տարածմանը: Հարթակը հնարավորություն կտա ծանոթանալ տարբեր ոլորտներում հաջողության հասած ձեռներեցների պատմություններին, ինչը կնպաստի նորարարական մոտեցումների տարածմանը և ձեռներեցության մշակույթի ամրապնդմանը։ 
Կիրականացվի նաև «Լավագույն ձեռներեց» մրցույթը, որի նպատակն է խթանել ձեռներեցության զարգացումը՝ ներկայացնելով հաջողված ձեռներեցների օրինակները և բարձրացնելով հանրության հետաքրքրությունը ձեռնարկատիրության նկատմամբ։ Մրցույթի շրջանակում լավագույն ձեռներեցները կընտրվեն՝ հաշվի առնելով բիզնեսի նորարարական մոտեցումները, ներառականության խթանումը և տնտեսության զարգացման վրա ունեցած ազդեցությունը։ Մրցույթը հնարավորություն կտա ոչ միայն արժևորել հաջողակ ձեռներեցներին, այլև նպաստել ձեռնարկատիրական մշակույթի տարածմանը և նորարարության խրախուսմանը հանրության շրջանում։</t>
  </si>
  <si>
    <t>1.2.1ա1</t>
  </si>
  <si>
    <t>Ձեռներեցության ազգային էլեկտրոնային հարթակում հրապարակված հաջողության պատմությունների թվաքանակ</t>
  </si>
  <si>
    <t>1.2.1ա2</t>
  </si>
  <si>
    <t>Մրցույթին մասնակցության հայտ ներկայացրած ձեռներեցների թվաքանակ</t>
  </si>
  <si>
    <t>1.2.1ա3</t>
  </si>
  <si>
    <t>Մրցույթին մասնակցած ձեռներեցների թվաքանակ</t>
  </si>
  <si>
    <t>1.2.1ա4</t>
  </si>
  <si>
    <t>Հաջողության պատմությունների հրապարակումների դիտումների թվաքանակ</t>
  </si>
  <si>
    <t>Միջոցառում 1.2.2</t>
  </si>
  <si>
    <t>Մարզերում առևտրային ցուցահանդեսների, տոնավաճառների, տնտեսական զարգացման համաժողովների կազմակերպում</t>
  </si>
  <si>
    <t>ՀՀ մարզերում կկազմակերպվեն ամենամյա առևտրային ցուցահանդեսներ, տոնավաճառներ և տնտեսական զարգացման համաժողովներ, որոնք կծառայեն որպես փորձի փոխանակման և համագործակցության հարթակ տեղական ձեռնարկությունների, ներդրողների և այլ շահագրգիռ կողմերի միջև։ Այդ նախաձեռնությունների նպատակն է խթանել տնտեսական ակտիվությունը Երևանից դուրս՝ ստեղծելով միջավայր, որտեղ մարզային բիզնեսները կարող են ներկայացնել իրենց արտադրանքներն ու ծառայությունները, ծանոթանալ նոր շուկաներ դուրս գալու հնարավորություններին և հաստատել նոր գործնական կապեր։ Այդ միջոցառումները կնպաստեն մարզերում նոր բիզնես հնարավորությունների բացահայտմանը, ինչը կնպաստի երկրի տնտեսական հավասարակշռված զարգացմանը։</t>
  </si>
  <si>
    <t>1.2.2ա1</t>
  </si>
  <si>
    <t>Մարզային առևտրային ցուցահանդեսների և տոնավաճառների թվաքանակ</t>
  </si>
  <si>
    <t>1.2.2ա2</t>
  </si>
  <si>
    <t>Մարզային առևտրային ցուցահանդեսների և տոնավաճառների մասնակից ձեռնարկությունների թվաքանակ</t>
  </si>
  <si>
    <t>1.2.2ա3</t>
  </si>
  <si>
    <t>Մարզային՝ տնտեսական զարգացման համաժողովների թվաքանակ</t>
  </si>
  <si>
    <t>1.2.2ա4</t>
  </si>
  <si>
    <t>Մարզային՝ տնտեսական զարգացման համաժողովների մասնակիցների թվաքանակ</t>
  </si>
  <si>
    <t>Միջոցառում 1.2.3</t>
  </si>
  <si>
    <t>Նոր ձեռնարկատիրական գաղափարների մշակմանն ուղղված բութքեմփերի իրականացում մարզերում</t>
  </si>
  <si>
    <t xml:space="preserve">Նախքան ինկուբացիոն ծրագրերի իրականացումը՝ մարզերում կանցկացվեն նոր ձեռնարկատիրական գաղափարների ձևավորմանն ուղղված եռօրյա բութքեմփեր՝ ներգրավելով ձեռներեցությամբ զբաղվելու ձգտում ունեցող մարզային բնակչությանը, մենթորների, ոլորտային փորձագետների, և այլն։ Բութքեմփերի ընթացքում, հիմնվելով նախապես սահմանված խնդիրների և համայնքային պահանջների վրա, կգեներացվեն նոր ձեռնարկատիրական գաղափարներ։ Ակնկալվում է, որ բութքեմփերի մասնակիցների մեծ մասը հետագայում կընդգրկվի ինկուբացիոն ծրագրերում՝ ստանալու ավելի խորը ուսուցում և աջակցություն իրենց գաղափարները գործնականում իրագործելու համար։  </t>
  </si>
  <si>
    <t>1.2.3ա1</t>
  </si>
  <si>
    <t>Մարզային բութքեմփերի թվաքանակ</t>
  </si>
  <si>
    <t>1.2.3ա2</t>
  </si>
  <si>
    <t>Մարզային բութքեմփերի մասնակիցների թվաքանակ</t>
  </si>
  <si>
    <t>1.2.3ա3</t>
  </si>
  <si>
    <t>Մարզերի մասնաբաժին, որոնցում իրականացվում է բութքեմփ</t>
  </si>
  <si>
    <t>1.2.3ա4</t>
  </si>
  <si>
    <t>Բութքեմփերի մասնակիցների մասնաբաժին՝ ինկուբացիոն ծրագրերն ավարտածների կազմում</t>
  </si>
  <si>
    <t>Միջոցառում 1.2.4</t>
  </si>
  <si>
    <t>1.2.4ա1</t>
  </si>
  <si>
    <t>Ձեռնարկատիրական կրթության տարրերի ինտեգրում առկա կրթական ծրագրերում (Այո/Ոչ)</t>
  </si>
  <si>
    <t>Այո</t>
  </si>
  <si>
    <t>ՀՀ ԿԳՄՍՆ</t>
  </si>
  <si>
    <t>1.2.4ա2</t>
  </si>
  <si>
    <t>Ձեռնարկատիրական հմտությունների զարգացման նպատակով ուսուցիչների վերապատրաստում (Այո/Ոչ)</t>
  </si>
  <si>
    <t>Ծրագիր 2․1. «Թվային և տեխնոլոգիական վերափոխում» ծրագրի իրականացում</t>
  </si>
  <si>
    <t>Միջոցառում 2.1.1</t>
  </si>
  <si>
    <t>Ծրագրի մասնակից ձեռնարկություններում տեխնոլոգիական արդիականացման, թվայնացման, բիզնես գործընթացների օպտիմալացման, կառավարման համակարգերի և ստանդարտների ներդրման կարիքի գնահատում և վերափոխման նախագծերի մշակման աջակցություն</t>
  </si>
  <si>
    <t xml:space="preserve">ԹՏՎ ծրագրի նպատակն է խթանել տնտեսության թվայնացումը և տեխնոլոգիական արդիականացումը՝ տնտեսավարողներին ապահովելով ժամանակակից գործիքներով և հմտություններով, որոնք կօգնեն դառնալ մրցունակ ներքին և արտաքին շուկաներում։ 
Ծրագրի մշակման, կազմակերպման և իրականացման գործընթացը կպատվիրակվի համապատասխան փորձ և կարողություններ ունեցող մասնագիտացված կազմակերպությունների։
Ծրագրի շահառուների շրջանակը ներառում է ՀՀ-ում գրանցված այն առևտրային կազմակերպություններին, որոնք համապատասխանում են հետևյալ չափանիշներին.
• պետական գրանցման պահից անցել է նվազագույնը 3 տարի,
• մեկ վարձու աշխատողի հաշվով ստեղծվող շրջանառությունը չի գերազանցում իր գործունեության տեսակի համար սահմանված շեմը։Ծրագրի մասնակից ձեռնարկություններում կիրականացվի թվային ու տեխնոլոգիական վերափոխման կարիքի ախտորոշում և վերափոխման նախագծերի մշակում՝ ներգրավելով մասնագիտացված խորհրդատվական ընկերություններ և փորձագետներ, այդ թվում՝ արտերկրից, որոնք կընտրվեն 4.1.4 միջոցառման շրջանակում ձևավորված ռեեստրից։ Ծրագրի շրջանակում կտրամադրվի խորհրդատվական ծառայությունների ձեռքբերման ծախսերի մասնակի փոխհատուցում։ Նախագծերը կներառեն մի շարք ուղղություններ, այդ թվում՝
- Թվայնացման ռազմավարությունների մշակում․
- Տեխնոլոգիական արդիականացման ներդրումային ծրագրերի մշակում․
- Բիզնես գործընթացների օպտիմալացում․
- Որակի կառավարման միջազգային ստանդարտների ներդրում և հավաստագրում․
- Կանաչ տեխնոլոգիաների և շրջանաձև տնտեսության մոդելների կիրառում։
Սույն միջոցառման շրջանակում մշակված նախագծերը նախապայման են հանդիսանում ներդրումային ծրագրերի սուբսիդավորված տոկոսադրույքներով վարկավորման միջոցառման մասնակցելու համար։ 
Մարզերում գործող, կանանց և երիտասարդների կողմից ղեկավարվող ընկերությունների, ինչպես նաև կանաչ/շրջանաձև տնտեսության, և արտահանման շուկաների դիվերսիֆիկացմանն ուղված նախագծերի պարագայում կկիրառվեն համաֆինանսավորման ավելի բարձր չափաբաժին։ </t>
  </si>
  <si>
    <t>2.1.1ա1</t>
  </si>
  <si>
    <t>Վերափոխման նախագծերի մշակման աջակցության համար ֆինանսավորում ստանալու նպատակով դիմած տնտեսավարողների թվաքանակ</t>
  </si>
  <si>
    <t>2.1.1ա2</t>
  </si>
  <si>
    <t>Վերափոխման նախագծեր մշակած տնտեսավարողների թվաքանակ</t>
  </si>
  <si>
    <t>Միջոցառում 2.1.2</t>
  </si>
  <si>
    <t>Ծրագրի մասնակից ձեռնարկություններում վերափոխման նախագծերի իրագործման համար վարկի և/կամ լիզինգի տոկոսադրույքի սուբսիդավորում</t>
  </si>
  <si>
    <t>Միջոցառումը ենթադրում է Միջոցառում 2.1.3 մասնակիցների կողմից մշակված նախագծերի իրականացման և/կամ դրանց շրաջանակում համապատասխան թվային գործիքների և արտադրական տեխնոլոգիաների ձեռքբերման համար գործընկեր բանկի կամ վարկային կազմակերպության կողմից տրամադրված վարկի կամ լիզինգի տոկոսադրույքների սուբսիդավորում։  Հիմնվելով ռազմավարության աճի որակի ուղղորդման սկզբունքի վրա՝ տոկոսադրույքի լրացուցիչ տոկոսային կետերի սուբսիդավորում կտրամադրվի՝
• արտահանման մեծ ներուժ ունեցող ոլորտների ձեռնարկություններին,
• կանաչ տեխնոլոգիաներ և/կամ գործընթացներ ներդրող ձեռնարկություններին,
• կանանց և երիտասարդների կողմից ղեկավարվող ձեռնարկություններին,
• մարզերում գործող ձեռնարկություններին,
• ոչ ԱՊՀ շուկաներ արտահանող ձեռնարկություններին,
• ներմուծման փոխարինում իրականացնող ձեռնարկություններին։</t>
  </si>
  <si>
    <t>2.1.2ա1</t>
  </si>
  <si>
    <t>Արտոնյալ վարկային և կամ լիզինգային ֆինանսավորում ստացած վերափոխման նախագծերի թվաքանակ</t>
  </si>
  <si>
    <t>Միջոցառում 2.2.1</t>
  </si>
  <si>
    <t>Ձեռնարկատիրական, տեխնոլոգիական և թվային հմտությունների զարգացմանն ուղղված կրթական ծրագրերի մասնակցության վաուչերների տրամադրում</t>
  </si>
  <si>
    <t>Ձեռնարկություններին կտրամադրվեն մասնագիտական հմտությունների զարգացման վաուչերներ՝ Ձեռներցության աջակցման մարմնի կողմից որակավորված կրթական ծրագրերին մասնակցության համար։ Վաուչերները նպատակ ունեն նպաստելու աշխատուժի կարողությունների և արտադրողականության բարձրացմանը։</t>
  </si>
  <si>
    <t>2.2.1ա1</t>
  </si>
  <si>
    <t>Վաուչեր ստացած տնտեսավարողների թվաքանակ</t>
  </si>
  <si>
    <t>2.2.1ա2</t>
  </si>
  <si>
    <t>Կրթական ծրագրերին մասնակցած աշխատակիցների թվաքանակ</t>
  </si>
  <si>
    <t>Միջոցառում 2.2.2</t>
  </si>
  <si>
    <t xml:space="preserve">Թվայնացման, տեխնոլոգիական արդիականացման, բիզնես գործընթացների օպտիմալացմանն ու կառավարման համակարգերի ստանդարտների ներդրմանն ուղղված թեմատիկ աշխատաժողովների ու սեմինարների իրականացում </t>
  </si>
  <si>
    <t>2.2.2ա1</t>
  </si>
  <si>
    <t>Համաժողովների թվաքանակ</t>
  </si>
  <si>
    <t>2.2.2ա2</t>
  </si>
  <si>
    <t>Համաժողովների մասնակիցների թվաքանակ</t>
  </si>
  <si>
    <t>2.2.2ա3</t>
  </si>
  <si>
    <t>Աշխատաժողովների թվաքանակ</t>
  </si>
  <si>
    <t>2.2.2ա4</t>
  </si>
  <si>
    <t>Աշխատաժողովների մասնակիցների թվաքանակ</t>
  </si>
  <si>
    <t>Միջոցառում 2.2.3</t>
  </si>
  <si>
    <t>Համագործակցային դրամաշնորհային մրցույթների կազմակերպում՝ կլաստերների զարգացման,  արժեշղթաների ինտեգրման և համատեղ ենթակառուցվածքների ձևավորման համար։</t>
  </si>
  <si>
    <t>Միջոցառումը նպատակ ունի խթանել տնտեսության տարբեր ոլորտներում համագործակցությունը։ Կհայտարարվի դրամաշնորհային մրցույթ՝ ուղղված համագործակցային նախագծերի համաֆինանսավորմանը։ Համագործակցային նախագծերը կմշակվեն առնվազն 3 կազմակերպությունների միջև՝ ներգրավելով ինչպես տարբեր ոլորտների ձեռնարկությունների, այնպես էլ հետազոտական և կրթական հաստատությունների ու և տվյալ ոլորտում գործող մասնագիտացված այլ կազմակերպությունների կողմից ձևավորված կոնսորցիումները։ Համատեղ նախագծերը միտված են կլաստերների զարգացմանը, արժեշղթայի անդամների ինտեգրմանը և համատեղ ենթակառուցվածքների ձևավորմանը։ Մրցույթին մասնակցող կազմակերպությունները հնարավորություն կստանան համատեղ աշխատելու ընդհանուր ենթակառուցվածքների՝ լաբորատորիաների, արտադրական հզորությունների կամ բաշխման ցանցերի ստեղծման ուղղությամբ։ Այս նախաձեռնությունը հնարավորություն է տալիս մասնակիցներին նվազեցնել ծախսերը, բարձրացնել արտադրողականությունն ու արդյունավետությունը, ինչպես նաև ամրապնդել իրենց դիրքը միջազգային շուկայում։ Արդյունքում, ծրագիրը կնպաստի կլաստերային կառույցների ձևավորմանը և տնտեսության կայուն զարգացմանը՝ խթանելով համագործակցությունը և նորարարությունը։</t>
  </si>
  <si>
    <t>2.2.3ա1</t>
  </si>
  <si>
    <t>Դրամաշնորհ ստացած համագործակցային նախագծերի թվաքանակ</t>
  </si>
  <si>
    <t>2.2.3ա2</t>
  </si>
  <si>
    <t>Մարզերի մասնաբաժին, որոնցում իրականացվում են համագործակցային նախագծեր</t>
  </si>
  <si>
    <t>2.2.3ա3</t>
  </si>
  <si>
    <t>Համագործակցային նախագծերում ներգրավված կազմակերպությունների քանակ</t>
  </si>
  <si>
    <t>Ծրագիր 3․1. «Նորարարություն միջազգային ընդլայնման համար» ծրագրի իրականացում</t>
  </si>
  <si>
    <t>Միջոցառում 3.1.1</t>
  </si>
  <si>
    <t>«Նորարարություն` միջազգային ընդլայնման համար» ծրագրի մասնակից ձեռնարկությունների հետազոտությունների և մշակումների (R&amp;D) ծախսերի համաֆինանսավորում</t>
  </si>
  <si>
    <t>Միջոցառման նպատակը բարձր արտադրողական ձեռնարկությունների կողմից հետազոտությունների և մշակումների (R&amp;D) բնագավառում ներդրումների խրախուսումը։ Մասնակից ձեռնարկությունները Զեռներեցության աջակցման կենտրոնին ներկայացնում են հետազոտությունների և մշակումների նախագիծը մինչև 50-70% չափով համաֆինանսավորում ստանալու համար։ Հիմնվելով ռազմավարության աճի որակի չափորոշիչի վրա՝ համաֆինանսավորման մասնաբաժինը կտարբերակվի՝
• կրթական և գիտահետազոտական հաստատության, միջազգային գործընկերոջ հետ համագործակցող ձեռնարկություններ,
• արտահանման մեծ ներուժ ունեցող ոլորտների ձեռնարկություններ,
• կանաչ տեխնոլոգիաներ և/կամ գործընթացներ ներդրող ձեռնարկություններ,
• կանանց և երիտասարդների կողմից ղեկավարվող ձեռնարկություններ,
• մարզերում գործող ձեռնարկություններ,
• ոչ ԱՊՀ շուկաներ արտահանող ձեռնարկություններ,
• ներմուծման փոխարինում իրականացնող ձեռնարկություններ։</t>
  </si>
  <si>
    <t>3.1.1ա1</t>
  </si>
  <si>
    <t>Համաֆինանսավորվող նորարարության նախագծերի թվաքանակ</t>
  </si>
  <si>
    <t>3.1.1ա2</t>
  </si>
  <si>
    <t>Կրթական և գիտահետազոտական հաստատությունների հետ համատեղ իրականացվող նորարարության նախագծերի թվաքանակ</t>
  </si>
  <si>
    <t>3.1.1ա3</t>
  </si>
  <si>
    <t>Արտերկրյա կազմակերպությունների հետ համատեղ իրականացվող նորարարության նախագծերի թվաքանակ</t>
  </si>
  <si>
    <t>Միջոցառում 3.1.2</t>
  </si>
  <si>
    <t>Բարձր արտադրողական ձեռնարկություններում բարձր որակավորում ունեցող միջազգային մասնագետների աշխատավարձի մասնակի փոխհատուցում</t>
  </si>
  <si>
    <t>Միջոցառումը նպատակ ունի խթանել ձեռնարկություններում հետազոտական և մշակման աշխատանքների իրականացումը՝ աջակցելով բարձր որակավորում ունեցող միջազգային մասնագետների ներգրավման նախաձեռնություններին։ Մասնավորապես, նախորդ միջոցառմամբ համաֆինանսավորում ստացած ձեռնարկությունները կարող են դիմել տարեկան մինչև երկու միջազգային մասնագետի (օրինակ՝    տեխնոլոգներ, կառավարիչներ, վաճառքի մասնագետներ, նորարարական ծրագրերի ղեկավարներ) աշխատավարձի մասնակի փոխհատուցման։ Միջազգային մասնագետները պետք է ունենան արտասահմանյան կազմակերպություններում նմանատիպ հետազոտական և մշակման նախագծերի իրականացման փորձ, համապատասխանեն կրթության և փորձառության սահմանման ենթակա այլ չափանիշներին։</t>
  </si>
  <si>
    <t>3.1.2ա1</t>
  </si>
  <si>
    <t>Նորարարության նախագծերի իրականացման շրջանակում նոր ներգրավված մասնագետների թվաքանակ</t>
  </si>
  <si>
    <t>Ծրագիր 3․2. Մտավոր սեփականության և տեխնոլոգիաների փոխանցման ծառայությունների հասանելիության և իրազեկվածության մակարդակի բարձրացում</t>
  </si>
  <si>
    <t>Միջոցառում 3.2.1</t>
  </si>
  <si>
    <t>Տեխնոլոգիաների ներմուծման ու տեղայնացման, նորարարական արդյունքների առևտրայնացման ներուժի գնահատման, մտավոր սեփականության իրավունքների պաշտպանության, դրանց օբյեկտների տեսակների, գրանցման և օգտագործման վերաբերյալ ուղեցույցների և այլ տեղեկատվական նյութերի մշակում ու հրապարակում, տարեկան աշխատաժողովների անցկացում</t>
  </si>
  <si>
    <t>Միջոցառումը ենթադրում է ամենամյա թեմատիկ աշխատաժողովների իրականցում, ինչպես նաև տեղեկատվական նյութերի մշակում ու հրապարակում, որոնց նպատակն է խթանել ձեռներեցների կարողությունները և իրազեկվածությունը հետևյալ բնագավառներում․
• տեխնոլոգիաների ներմուծում ու տեղայնացում, 
• նորարարական արդյունքների ստեղծում, հետազոտությունների և մշակումների կառավարում,
• նորարարական արդյունքների առևտրայնացման ներուժի գնահատում, 
• մտավոր սեփականության իրավունքների պաշտպանություն, 
• մտավոր սեփականության իրավունքների օբյեկտների դասակարգում, դրանց գրանցում և օգտագործում,
Տարեկան աշխատաժողովները ներգրավում են տեղական և միջազգային փորձագետների, կրթական և գիտահետազոտական հաստատությունների, հանրային և մասանվոր հատվածի ներկայացուցիչների։</t>
  </si>
  <si>
    <t>3.2.1ա1</t>
  </si>
  <si>
    <t>Իրականացվող աշխատաժողովների տարեկան թիվ</t>
  </si>
  <si>
    <t>3.2.1ա2</t>
  </si>
  <si>
    <t>Համաժողովների աշխատաժողովների մասնակիցների թվաքանակ</t>
  </si>
  <si>
    <t>3.2.1ա3</t>
  </si>
  <si>
    <t>Հրապարակված ուղեցույցների և տեղեկատվական նյութերի թվաքանակ</t>
  </si>
  <si>
    <t>3.2.1ա4</t>
  </si>
  <si>
    <t>Հրապարակված ուղեցույցների և տեղեկատվական նյութերի դիտումների թիվ</t>
  </si>
  <si>
    <t>Միջոցառում 3.2.2</t>
  </si>
  <si>
    <t>Վաուչերների տրամադրում տեխնոլոգիաների ներմուծման, նորարարական արդյունքների առևտրայնացման, մտավոր սեփականության իրավունքների պաշտպանության վերաբերյալ խորհրդատվական և իրավաբանական ծառայություններ ձեռք բերելու նպատակով</t>
  </si>
  <si>
    <t xml:space="preserve">Տեխնոլոգիաների փոխանցման և մտավոր սեփականության իրավունքի բնագավառում մասնագիտացած կազմակերպությունների մատուցած ծառայությունները ձեռք բերելու համար կտրամադիվեն վաուչերներ, որոնց արժեքով կֆինանսավորվի յուրաքանչյուր կազմակերպության մեկանգամյա սպասարկումը։ Վաուչերները հասանելի կլինեն սահմանափակ թվով ձեռնարկությունների համար, որոնցից առաջնահերթության կարգով աջակցություն կստանան Ծրագիր 3.1 շահառուները։ </t>
  </si>
  <si>
    <t>3.2.2ա1</t>
  </si>
  <si>
    <t>Վաուչեր ստացած ձեռնարկությունների թվաքանակ</t>
  </si>
  <si>
    <t>Միջոցառում 4.1.1</t>
  </si>
  <si>
    <t>4.1.1ա1</t>
  </si>
  <si>
    <t>Մշակված և ՀՀ ԷՆ կողմից հաստատված մոդել (Այո/Ոչ)</t>
  </si>
  <si>
    <t>Ձեռներեցության աջակցության մարմին</t>
  </si>
  <si>
    <t xml:space="preserve"> ՀՀ ԷՆ</t>
  </si>
  <si>
    <t>Միջոցառում 4.1.2</t>
  </si>
  <si>
    <t>Ռազմավարական ծրագրով նախատեսվող ծրագրերի և դրանցով սահմանվող միջոցառումների վարչարարություն և իրականացնող գործընկերների համակարգում</t>
  </si>
  <si>
    <t>Ծրագիր 1.1, Ծրագիր 1.2, Ծրագիր 2.1, Ծրագիր 2.2, Ծրագիր 3.1, Ծրագիր 3.2 նախատեսվող միջոցառումների վարչարարությունը, գործընկերների համակարգումը, շահառուների հավաքագրումը և աջակցության տրամադրումը կիրականացվի Ձեռներեցության աջակցության մարմնի համապատասխան ստորաբաժանման/մասնագետների կողմից։</t>
  </si>
  <si>
    <t>4.1.2ա1</t>
  </si>
  <si>
    <t>Գործընկերներ հաստատությունների (ֆինանսական կազմակերպություններ, միջազգային և դոնոր կազմակերպություններ, մասնագիտական և կրթական ծառայություն մատուցողներ) թիվ</t>
  </si>
  <si>
    <t>Միջոցառում 4.1.3</t>
  </si>
  <si>
    <t>Ձեռներեցներին տեղեկատվական ծառայությունների տրամադրում, պետական աջակցության ծրագրերի մասին իրազեկում և ուղղորդում</t>
  </si>
  <si>
    <t>4.1.3ա1</t>
  </si>
  <si>
    <t>Էլեկտրոնային հարթակի տարեկան դիտումների թիվ</t>
  </si>
  <si>
    <t>4.1.3ա2</t>
  </si>
  <si>
    <t>Փոխարկումների գործակից, կայքի միջոցով ռեսուրսներ ներբեռնած, մարմնի հետ կապ հաստատած, օգություն և տեղեկատվության հայցած, հրապարակվող հարցումներին մասնակցած այցելուների մասնաբաժինը ընդհանուր այցելուների մեջ</t>
  </si>
  <si>
    <t>4.1.3ա3</t>
  </si>
  <si>
    <t>Որոնման վարկանիշ "բիզնես աջակցություն", "փոքր բիզնես", "ձեռներեցների աջակցություն" հիմնաբառերի համար</t>
  </si>
  <si>
    <t>4.1.3ա4</t>
  </si>
  <si>
    <t>Տարեկան տեղեկատվական ծառայություններ ստացած և իրազեկված ձեռնարկությունների թիվ</t>
  </si>
  <si>
    <t>Միջոցառում 4.1.4</t>
  </si>
  <si>
    <t>Մասնագիտացված ծառայություններ մատուցող կազմակերպությունների, անհատ փորձագետների և միջազգային դոնոր կազմակերպությունների կողմից իրականացվող ծրագրերի ռեեստրի մշակում, հրապարակում, շարունակական թարմացում և ընդլայնում</t>
  </si>
  <si>
    <t>Մասնագիտացված ծառայություն մատուցող կազմակերպությունների, փորձագետների և միջազգային դոնոր կազմակերպությունների կողմից իրականացվող ծրագրերի ռեեստրերի մշակման նպատակն է կապել ձեռնարկություններին իրենց կարիքները ճանաչող և խնդիրների լուծման փորձ ունեցող մասնագետների հետ, ինչպես նաև բարձրացնել աջակցության իրականացվող ծրագրերի հասանելիությունը։ Ռեեստրը կմշակվի արտապատվիրակման կամ Ձեռներեցության աջակցության մարմնի սեփական կարողությունների միջոցով։ Կազմակերպությունները, փորձագետները և ծրագրերը կդասակարգվեն ըստ մատուցած ծառայության տեսակի, միջին գնի, փորձի և այլ ցուցանիշների։ Ռեեստրը կհրապարակվի Ձեռներեցության ազգային հարթակում, շարունակաբար կթարմացվի և կկատարելագործվի: 
Ռեեստրները կներառեն հետևյալ ծառայությունները մատուցող կազմակերպություններին,  անհատ փորձագետներին և ծրագրերին՝ 
• թվայնացման, տեխնոլոգիական, կառավարման, որակի ստանդարտների, բրենդինգի, մարքեթինգի և այլ մասնագիտական ծառայություններ,
• ձեռնարկությունների նորարարական ներուժի գնահատման և միջազգային ընդլայնման ռազմավարությունների մշակման ծառայություններ,
• տեխնոլոգիաների փոխանցման և մտավոր սեփականության խորհրդատվական և իրավաբանական ծառայություններ:</t>
  </si>
  <si>
    <t>4.1.4ա1</t>
  </si>
  <si>
    <t>Ռեեստրում ներառված կազմակերպությունների և փորձագետների նվազագույն թիվ</t>
  </si>
  <si>
    <t>4.1.4ա2</t>
  </si>
  <si>
    <t xml:space="preserve">	Հրապարակված ռեեստրի դիտումների թիվ</t>
  </si>
  <si>
    <t>Միջոցառում 4.1.5</t>
  </si>
  <si>
    <t>Վարկային երաշխիքների պետական ֆոնդի կառավարում</t>
  </si>
  <si>
    <t xml:space="preserve">Ծրագիր 1.1 և Ծրագիր 2.1 շրջանակում նախատեսվող վարկային երաշխիքների բաշխման համար կստեղծվի երաշխիքների պետական ֆոնդ, որի կառավարումը և գործընկեր ֆինանսական հաստատությունների միջոցով աջակցության տրամադրումը կիրականացվի Ձեռներեցության աջակցության մարմնի համապատասխան ստորաբաժանման/մասնագետների կողմից։ </t>
  </si>
  <si>
    <t>Գործընկերներ ֆինանսական հաստատությունների տարեկան թիվ</t>
  </si>
  <si>
    <t>Միջոցառում 4.1.6</t>
  </si>
  <si>
    <t>Մարմնի կողմից իրականացվող ծրագրերի և դրանց շահառուների վերաբերյալ տվյալների հավաքմանը, վերլուծությանը և ազդեցության գնահատմանն ուղղված տեղեկատվական համակարգի ներդրում ու շարունակական կատարելագործում</t>
  </si>
  <si>
    <t>4.1.6ա1</t>
  </si>
  <si>
    <t>Ներդրված և կիրառելի տեղեկատվական համակարգ (Այո/Ոչ)</t>
  </si>
  <si>
    <t>Միջոցառում 4.1.7</t>
  </si>
  <si>
    <t>Մարմնի աշխատակիցների կարողությունների շարունակական զարգացում՝ կրթական ծրագրերում մասնակցության, ուսումնական այցերի և փորձագետների ներգրավման միջոցով</t>
  </si>
  <si>
    <t>Միջոցառումը նախատեսում է ձեռներեցության աջակցության մարմնի անձնակազմի կարողություննների շարունակական զարգացում կրթական ծրագրերում ներգրավվածության և աշխատաժողովների կազմակերպման միջոցով: Կթիրախավորվեն մասնավորապես աշխատակիցների ռազմավարական պլանավորման,  քաղաքականության վերլուծության, հաղորդակցության, ֆինանսական, շուկայավարման, թվային տեխնոլոգիաների կիրառման հմտությունները:</t>
  </si>
  <si>
    <t>4.1.7ա1</t>
  </si>
  <si>
    <t>Կարողությունների զարգացման նախաձեռնություններին մասնակցող աշխատակիցների մասնաբաժին</t>
  </si>
  <si>
    <t>Միջոցառում 4.1.8</t>
  </si>
  <si>
    <t>Անկախ գնահատող կազմակերպության կողմից մարմնի մշտադիտարկում և տարեկան հաշվետվությունների պատրաստում</t>
  </si>
  <si>
    <t>Մարմնի գործունեության հաշվետվողականությունը և թափանցիկությունը ապահովելու նպատակով անկախ գնահատող կազմակերպության կողմից կիրականացվի մարմնի տարեկան աուդիտ և տարեկան հաշվետվությունների պատրաստում։</t>
  </si>
  <si>
    <t>4.1.8ա1</t>
  </si>
  <si>
    <t>Մշակված տարեկան հաշվետվություն (Այո/Ոչ)</t>
  </si>
  <si>
    <t>Միջոցառում 4.2.1</t>
  </si>
  <si>
    <t>ՀՀ Էկոնոմիկայի նախարարության գործառնական կարողությունների գնահատում, համապատասխան վարչությունների ու ստորաբաժանումների գործառույթների հստակեցում և տարանջատում</t>
  </si>
  <si>
    <t>Կիրականացվի ՀՀ ԷՆ համապատասխան կառուցվածքային ստորաբաժանումների գործառությաին վերանայում՝ համապատասխանեցնելու այն ռազմավարությամբ նախատեսվող գործառույթների իրականացմանը:</t>
  </si>
  <si>
    <t>4.2.1ա1</t>
  </si>
  <si>
    <t>Մշակված և ՀՀ ԷՆ կողմից հաստատված հետազոտություն (Այո/Ոչ)</t>
  </si>
  <si>
    <t>-</t>
  </si>
  <si>
    <t>Միջոցառում 4.2.2</t>
  </si>
  <si>
    <t>Համապատասխան վարչություններում ու ստորաբաժանումներում տվյալների հավաքմանը, վերլուծությանը և ազդեցության գնահատմանն ուղղված տեղեկատվական համակարգի ներդրում ու շարունակական կատարելագործում</t>
  </si>
  <si>
    <t>Ռազմավարական ծրագրի արդյունավետ իրականացման համար ՀՀ ԷՆ համապատասխան վարչությունում կներդրվեն տվյալների հավաքմանը, վերլուծությանը և ազդեցության գնահատմանն ուղղված տեղեկատվական համակարգեր: Նման մեխանիզմները թույլ կտան գնահատել և ընդլայնել աջակցության ծրագրերից ստացվող արդյունքները: Համակարգերը ենթակա են շարունակական կատարելագործման` կախված կիրառման ընթացքում առաջացող կարիքներից և խնդիրներից:</t>
  </si>
  <si>
    <t>4.2.2ա1</t>
  </si>
  <si>
    <t>Միջոցառում 4.2.3</t>
  </si>
  <si>
    <t>Համապատասխան վարչությունների ու ստորաբաժանումների ռազմավարական պլանավորման և քաղաքականության վերլուծության հմտությունների շարունակական զարգացում</t>
  </si>
  <si>
    <t>Միջոցառումը նախատեսում է ՀՀ ԷՆ համապատասխան վարչությունում անձնակազմի կարողություննների զարգացում՝ վերապատրաստումների միջոցով: Կթիրախավորվեն մասնավորապես աշխատակիցների ռազմավարական պլանավորման և քաղաքականության վերլուծության հմտությունները:</t>
  </si>
  <si>
    <t>4.2.3ա1</t>
  </si>
  <si>
    <t>Ծրագիր 5․1․ Ձեռներեցության էկոհամակարգի խնդիրների վերհանման և բարեփոխումների մշակման գործընթացների արդյունավետության, շարունակականության և մասնակցայնության ընդլայնում</t>
  </si>
  <si>
    <t>Միջոցառում 5.1.1</t>
  </si>
  <si>
    <t>Պետություն-մասնավոր հատված երկխոսության հարթակների ամրապնդում և ընդլայնում</t>
  </si>
  <si>
    <t>Միջոցառումով նախատեսվում է մշակել համապատասխան մեխանիզմներ և զարգացնել կարողություններ՝ ձեռնարկությունների խնդիրները քարտեզագրելու և ոլորտի լսելիությունը բարձրացնելու համար։ 
ՓՄՁ ենթախորհրդի ներքո կձևավորվեն թեմատիկ աշխատանքային խմբեր՝ որոնցից յուրաքանչյուրն ուղղված կլինի ձեռներեցության էկոհամակարգի առանձին տարրերին առնչվող խնդիրների բացահայտմանը և բարեփոխումների օրակարգի ձևավորմանը։ Աշխատանքային խմբերի բնականոն գործունեության ապահովման, դրանցում մասնավոր հատվածի մասնակիցների ներգրավման, քննարկումների համակարգման գործառույթները կիրականացվեն ՀՀ էկոնոմիկայի նախարարության համապատասխան կառուցվածքային ստորաբաժանումների կողմից։ Նախարարության կողմից Ձեռներեցության ազգային էլեկտրոնային հարթակի միջոցով կներդրվի նաև խնդիրների հավաքման առցանց մեխանիզմ։ Միաժամանակ, նախարարությունը կհամագործակցի տեղական ինքնակառավարման մարմիններում տնտեսական հարցերի պատասխանատուների հետ՝ երաշխավորելով պետություն-մասնավոր հատված երկխոսության հարթակների գործունեությունը համայնքների մակարդակում։ Վերոնշյալ մեխանիզմների միջոցով ՀՀ էկոնոմիկայի նախարարության կողմից պարբերաբար կվերհանվեն և առաջնահերթություններ կտրվեն ձեռներեցության էկոհամակարգի խնդիրներին։ Կմշակվեն նաև վերոնշյալ խնդիրներից բխող բարեփոխումների նախագծեր, որոնք հիմք կհանդիսանան ՓՄՁ ենթախորհրդի և ՓՄՁ խորհրդի օրակարգի ձևավորման համար։ 
ՀՀ Էկոնոմիկայի նախարարության համապատասխան վարչությունների ու ստորաբաժանումների, ՓՄՁ զարգացման խորհրդի, Ձեռներեցության աջացկության մարմնի միջև կապահովվի համագործակցության խթանում և գործառույթների հստակ տարանջատում։</t>
  </si>
  <si>
    <t>5.1.1ա1</t>
  </si>
  <si>
    <t>Խորհրդի և ենթախորհրդի նիստերի ընթացքում քննարկված բարեփոխումների փաթեթների, ներառյալ՝ օրենսդրական և ենթաօրենսդրական ակտերի տարեկան թիվ</t>
  </si>
  <si>
    <t>ՓՄՁ զարգացման խորհուրդ</t>
  </si>
  <si>
    <t>ՀՀ ԷՆ, Ձեռներեցության աջակցության մարմին</t>
  </si>
  <si>
    <t>5.1.1ա2</t>
  </si>
  <si>
    <t>Էլեկտրոնային հարթակի միջոցով քարտեզագրված խնդիրների հիման վրա մշակված բարեփոխումների փաթեթների թիվ</t>
  </si>
  <si>
    <t>Միջոցառում 5.1.2</t>
  </si>
  <si>
    <t>Ձեռներեցության էկոհամակարգի գնահատման տարեկան հետազոտության անցկացում և բարելավման անհրաժեշտ ուղղությունների վերհանում</t>
  </si>
  <si>
    <t xml:space="preserve">Միջոցառման նպատակն է վերհանել և օպերատիվ լուծումների առաջարկել էկոհամակարգում ի հայտ եկող խնդիրներին։ Միջոցառման շրջանակում կիրականացվեն էկոհամակարգի գնահատման պարբերական հետազոտություններ, որոնք հիմք կհանդիսանան քաղաքականության մշակման և անհրաժեշտ օրենսդրական փոփոխությունների նախաձեռնությունների մեկնարկի համար։ Հետազոտությունները հաշվի կառնեն պետություն-մասնավոր հատված երկխոսության արդյունքները, իսկ էկոհամակարգի բաղադրիչների համընդհանուր ընկալման համար կկիրառվի վերջինիս սահմանման միջազգայնորեն ընդունված և տեղական շահագրգիռ կողմերի հետ համաձայնեցված մոտեցում։ </t>
  </si>
  <si>
    <t>5.1.2ա1</t>
  </si>
  <si>
    <t>Իրականացված հետազոտություն (Այո/Ոչ)</t>
  </si>
  <si>
    <t xml:space="preserve"> Ձեռներեցության աջակցության մարմին, ՓՄՁ զարգացման խորհուրդ </t>
  </si>
  <si>
    <t>Միջոցառում 5.1.3</t>
  </si>
  <si>
    <t>ՀՀ Էկոնոմիկայի նախարարության կողմից ձեռներեցության էկոհամակարգի զարգացման տարեկան գործողությունների ծրագրի մշակում և հաստատում</t>
  </si>
  <si>
    <t>Հիմնվելով Միջոցառում 5.1.3 նկարագրվող հետազոտության արդյունքների վրա ՀՀ ԷՆ կողմից կմշակվի և կհաստատվի տարեկան գործողությունների ծրագիր, որով կսահմանվեն էկոհամակարգի բարելավմանն ուղղված միջոցառումների ցանկը, ժամանակացույցը, պատասխանատու մարմինները։</t>
  </si>
  <si>
    <t>5.1.3ա1</t>
  </si>
  <si>
    <t>Մշակված և հաստատված գործողությունների ծրագիր (Այո/Ոչ)</t>
  </si>
  <si>
    <t xml:space="preserve">Ծրագիր 5.2․ Ձեռներեցության ոլորտի վերաբերյալ վիճակագրության բարելավում </t>
  </si>
  <si>
    <t>Միջոցառում 5.2.1</t>
  </si>
  <si>
    <t>Ձեռներեցության վիճակագրության պարբերական վարում և շարունակական կատարելագործում</t>
  </si>
  <si>
    <t xml:space="preserve">Միջոցառմամբ նախատեսվում է ընդլայնել ձեռներեցության ոլորտում վարվող վիճակագրության պարբերականությունը և շրջանակը։ Ձեռնարկությունների վերաբերյալ վիճակագրության առկա վիճակագրական հետազատությունները կհամալրվեն նոր ցուցանիշների ցանկով, որոնք թույլ կտան  պարբերաբար հավաքել տվյալներ ձեռնարկություններում արտահանման, նորարարության և թվային տեխնոլոգիաների ներդրման մակարդակի մասին։ Ձեռներեցության ոլորտում վարվող վիճակագրության շրջանակում պարբերաբար կհրապարակվեն  ձեռնարկություններում արտահանման, նորարարության և թվային տեխնոլոգիաների ներդրման մակարդակը բնութագրող ցուցանիշներ։ Վերոնշյալ տվյալները շարունակաբար կկատարելագործվեն, իսկ վարվող վիճակագրական ցուցանիշների ցանկը կընդլայնվի։ </t>
  </si>
  <si>
    <t>5.2.1ա1</t>
  </si>
  <si>
    <t>ՓՄՁ արտահանման մասին տարեկան վիճակագրություն (Այո/Ոչ)</t>
  </si>
  <si>
    <t>ՀՀ Վիճակագրական կոմիտե</t>
  </si>
  <si>
    <t>ՀՀ ԷՆ, ՀՀ ԲՏԱՆ,  Ձեռներեցության աջակցության մարմին</t>
  </si>
  <si>
    <t>5.2.1ա2</t>
  </si>
  <si>
    <t>ՓՄՁ թվայնացման և նորարարական գործունեության մասին տարեկան վիճակագրություն (Այո/Ոչ)</t>
  </si>
  <si>
    <t>Միջոցառում 5.2.2</t>
  </si>
  <si>
    <t>Հարկային և մաքսային մարմինների կողմից տնտեսավարողների վերաբերյալ հավաքվող տեղեկատվության ընդլայնում և կատարելագործում</t>
  </si>
  <si>
    <t>Միջոցառմամբ նախատեսվում է ընդլայնել հարկային և մաքսային մարմինների կողմից ձեռներեցության ոլորտում հավաքվող տեղեկատվության շրջանակը՝ մասնավորապես, ներառելով ցուցանիշներ կանանց ձեռներեցության, կազմակերպությունների փաստացի գործունեության վայրի, ապրանքների ու ծառայությունների արտահանման վերաբերյալ։</t>
  </si>
  <si>
    <t>5.2.2ա1</t>
  </si>
  <si>
    <t>Կանանց կողմից հիմնադրված կազմակերպությունների վերաբերյալ տվյալների հավաքում (Այո/Ոչ)</t>
  </si>
  <si>
    <t>ՀՀ ՊԵԿ</t>
  </si>
  <si>
    <t>5.2.2ա2</t>
  </si>
  <si>
    <t>Կազմակերպությունների փաստացի գործունեության վայրի վերաբերյալ տվյալների հավաքում (Այո/Ոչ)</t>
  </si>
  <si>
    <t>5.2.2ա3</t>
  </si>
  <si>
    <t>Կազմակերպությունների կողմից ապրանքների և ծառայությունների վերաբերյալ տվյալների հավաքում (Այո/Ոչ)</t>
  </si>
  <si>
    <t>Ցուցանիշ</t>
  </si>
  <si>
    <t>Կապը նպատակների հետ</t>
  </si>
  <si>
    <t>Ցուցանիշի տեսակը</t>
  </si>
  <si>
    <t>Տվյալ ցուցանիշի վերին մակարդակի ցուցանիշը</t>
  </si>
  <si>
    <t>Տվյալ ցուցանիշի ներքին  մակարդակի ցուցանիշ(ներ)ը</t>
  </si>
  <si>
    <t>Սահմանումը</t>
  </si>
  <si>
    <t>Հաշվարկման մեթոդաբանություն</t>
  </si>
  <si>
    <t>Չափման միավորը</t>
  </si>
  <si>
    <t>Տվյալների հավաքագրման պատասխանատուն</t>
  </si>
  <si>
    <t>Տվյալների աղբյուրը</t>
  </si>
  <si>
    <t>Հաշվետվական ցիկլը</t>
  </si>
  <si>
    <t>Ցուցանիշի դասիչը</t>
  </si>
  <si>
    <t>Ներկայացվում է ցուցանիշի անվանումը</t>
  </si>
  <si>
    <t>Նշվում են այն նպատակների անվանումները և դասիչները, որոնց չափողականությունն ապահովում է տվյալ ցուցանիշը</t>
  </si>
  <si>
    <t>Վերջնարդյունքի, միջանկյալ կամ ուղղակի արդյունքի:</t>
  </si>
  <si>
    <t>Եթե տվյալ ցուցանիշը միջանկյալ արդյունք է, ապա ներկայացվում է այն վերջնական արդյունքի ցուցանիշի դասիչը և անվանումը, որից բխում է տվյալ ցուցանիշը, եթե ուղղակի արդյունք՝ միջանկյալ կամ վերջնական արդյունքի ցուցանիշի անվանումը և դասիչը։</t>
  </si>
  <si>
    <t>Ներկայացվում են այն բոլոր ցուցանիշները և վերջիններիս դասիչները (միջանկյալ և ուղղակի արդյունքի), որոնք բխում են տվյալ ցուցանիշից:</t>
  </si>
  <si>
    <t>Ներկայացվում է համառոտ սահմանումը</t>
  </si>
  <si>
    <t>Մանրամասն ներկայացվում է, թե ինչպես, ինչ բանաձևով է ցուցանիշը հաշվարկվում</t>
  </si>
  <si>
    <t>Նկարագրվում է, ցուցանիշի չափման միավորը (տոկոս, մաս, հատ, կմ, մարդ և այլն):</t>
  </si>
  <si>
    <t>Ներկայացվում է ցուցանիշի հաշվարկման համար պահանջվող տվյալների հավաքագրման ու հաշվարկման համար պատասխանատու կազմակերպությունը:</t>
  </si>
  <si>
    <t>Նկարագրվում է թե որտեղից են ստացվում տվյալները և ինչպես են հավաքագրվում:</t>
  </si>
  <si>
    <t>Ներկայացվում է ցուցանիշի հաշվետվողականության պարբերականությունը՝ ամսական, եռամսյակային և (կամ) տարեկան, որը կախված է նաև սահմանված միջանկյալ թիրախային արժեքներից:</t>
  </si>
  <si>
    <t>Ընդհանուր փոփոխականներ</t>
  </si>
  <si>
    <t>Պետական պարտատոմսերի միջին եկամտաբերություն, % (2024թ․ առաջին կիսամյակի համար)</t>
  </si>
  <si>
    <t>Գնաճ, տարեկան</t>
  </si>
  <si>
    <t>Ռազմավարական նպատակ 1</t>
  </si>
  <si>
    <t>Թիրախային խմբեր</t>
  </si>
  <si>
    <t>Փոփոխական</t>
  </si>
  <si>
    <t>Արժեք</t>
  </si>
  <si>
    <t>1.1.1</t>
  </si>
  <si>
    <t>Մեկ ինկուբացիոն ծրագրի իրականացման ծախս, դրամ</t>
  </si>
  <si>
    <t>Թիրախային խումբ 1</t>
  </si>
  <si>
    <t>1.1.2</t>
  </si>
  <si>
    <t>Մարզային բնակչություն (20-64 տարիքային խումբ)</t>
  </si>
  <si>
    <t>Թիրախային խումբ 2</t>
  </si>
  <si>
    <t>1000 բնակչի հաշվով արշավի բյուջե</t>
  </si>
  <si>
    <t>արտահանելի</t>
  </si>
  <si>
    <t>1.1.3</t>
  </si>
  <si>
    <t>Ինկուբացիոն ծրագրի մասնակիցների թվաքանակ</t>
  </si>
  <si>
    <t>ոչ արտահանելի</t>
  </si>
  <si>
    <t>1.1.4</t>
  </si>
  <si>
    <t>Ինկուբացիոն ծրագիրը հաջողությամբ ավարտած մասնակիցների մասնաբաժին</t>
  </si>
  <si>
    <t>Թիրախային խումբ 3</t>
  </si>
  <si>
    <t>Վարկի առավելագույն սահմանաչափ մեկ շահառուի համար, դրամ</t>
  </si>
  <si>
    <t>Վարկի առավելագույն ժամկետ, ամիս</t>
  </si>
  <si>
    <t>Վարկի միջին տարեկան սուբսիդավորվող մաս, տոկոսային կետ</t>
  </si>
  <si>
    <t>Վարկի միջին տարեկան տոկոսադրույք</t>
  </si>
  <si>
    <t>Վարկ ստացողների մասնաբաժին</t>
  </si>
  <si>
    <t>1.1.6</t>
  </si>
  <si>
    <t>Նորարարական նախագծերի համաֆինանսավորման մասնաբաժին</t>
  </si>
  <si>
    <t>Ինկուբացիոն ծրագրերի և բութքեմփերի թիվը</t>
  </si>
  <si>
    <t>Նորարարական նախագծերի միջին արժեք, դրամ</t>
  </si>
  <si>
    <t>Ինկուբացիոն ծրագրի մասնակիցներ</t>
  </si>
  <si>
    <t>1.1.5</t>
  </si>
  <si>
    <t>Երաշխիքի միջին չափ, %</t>
  </si>
  <si>
    <t>Վարկ ստացողների թիվ</t>
  </si>
  <si>
    <t>Երաշխիք ստացող մասնակիցների մասնաբաժին վարկ ստացողների մեջ, %</t>
  </si>
  <si>
    <t>Սուբսիդավորման չափ, դրամ</t>
  </si>
  <si>
    <t>Անվճարունակ ձեռնարկությունների կշիռը վարկային երաշխիքներ ստացողների մեջ, %</t>
  </si>
  <si>
    <t>Դրամաշնորհ ստացողների թիվ</t>
  </si>
  <si>
    <t>1.2.1</t>
  </si>
  <si>
    <t>Լավագույն Ձեռներեց մրցույթի իրականացման տարեկան ծախս</t>
  </si>
  <si>
    <t>Դրամաշնորհների չափ</t>
  </si>
  <si>
    <t>1.2.2</t>
  </si>
  <si>
    <t>Մեկ հաջողության պատմություն մշակելու և հանրայնացնելու ծախս, դրամ</t>
  </si>
  <si>
    <t>Երաշխիքներ, դրամ</t>
  </si>
  <si>
    <t>1.2.3</t>
  </si>
  <si>
    <t>Մեկ ցուցահանդեսի/տոնավաճառի կազմակերպման ծախս, դրամ</t>
  </si>
  <si>
    <t>Վարկերի մայր գումարի վճարումներ, դրամ</t>
  </si>
  <si>
    <t>Մեկ համաժողովի կազմակերպման ծախս, դրամ</t>
  </si>
  <si>
    <t>Պետական պարտատոմսերից ստացված եկամուտ</t>
  </si>
  <si>
    <t>1.2.4</t>
  </si>
  <si>
    <t>Բութքեմփի տևողություն, օր</t>
  </si>
  <si>
    <t>Վճարներ, դրամ</t>
  </si>
  <si>
    <t>Մեկ բութքեմփի մասնակիցների թիվ</t>
  </si>
  <si>
    <t>Ցուցահանդեսների և համաժողովների տարեկան թիվ</t>
  </si>
  <si>
    <t>Մեկ մասնակցի հաշվով բութքեմփի իրականացման օրական ծախս, դրամ</t>
  </si>
  <si>
    <t>Հաջողության պատմությունների թիվ</t>
  </si>
  <si>
    <t>Երաշխիքների տրամադրման վճար</t>
  </si>
  <si>
    <t>Ռազմավարական նպատակ 2</t>
  </si>
  <si>
    <t>2.1.2/3.1.2/3.2.2</t>
  </si>
  <si>
    <t>Ծառայություն մատուցողների ռեեստրի մշակման ծախս, դրամ</t>
  </si>
  <si>
    <t>Խորհրդատվական նախագծերի թիվ</t>
  </si>
  <si>
    <t>2.1.3</t>
  </si>
  <si>
    <t>Խորհրդատվական ծառայության միջին արժեք, դրամ</t>
  </si>
  <si>
    <t xml:space="preserve">արտահանելի </t>
  </si>
  <si>
    <t>Խորհրդատվական ծառայության ծախսերի համաֆինանսավորման մասնաբաժին, %</t>
  </si>
  <si>
    <t>Վերափոխման ծրագրի իրականացման միջին ծախս, դրամ</t>
  </si>
  <si>
    <t>Վարկառուների թիվ</t>
  </si>
  <si>
    <t>2.1.4</t>
  </si>
  <si>
    <t>Արտահանելի հատվածի ձեռնարկությունների մասնաբաժին, %</t>
  </si>
  <si>
    <t>Լիզինգի առավելագույն սահմանաչափ մեկ շահառուի համար, դրամ</t>
  </si>
  <si>
    <t>Լիզինգառուների թիվ</t>
  </si>
  <si>
    <t>Լիզինգի կանխավճար, %</t>
  </si>
  <si>
    <t>Լիզինգի առավելագույն ժամկետ, ամիս</t>
  </si>
  <si>
    <t>Վարկերի տոկոսադրույքների սուբսիդավորման չափ</t>
  </si>
  <si>
    <t>Վարկի/լիզինգի միջին տարեկան սուբսիդավորվող մաս արտահանելի հատվածի համար, տոկոսային կետ</t>
  </si>
  <si>
    <t>Վարկի/լիզինգի միջին տարեկան սուբսիդավորվող մաս ոչ արտահանելի հատվածի համար, տոկոսային կետ</t>
  </si>
  <si>
    <t>Վարկի/լիզինգի միջին տարեկան տոկոսադրույք</t>
  </si>
  <si>
    <t>Լիզինգի սուբսիդավորման չափ</t>
  </si>
  <si>
    <t>Լիզինգ ստացողների մասնաբաժին</t>
  </si>
  <si>
    <t>2.1.5</t>
  </si>
  <si>
    <t>2.2.1</t>
  </si>
  <si>
    <t>Կրթական ծրագրերի մասնակցության վաուչերների միջին արժեք (2 աշխատողի մասնակցության համար), դրամ</t>
  </si>
  <si>
    <t>2.2.2</t>
  </si>
  <si>
    <t>Ծառայություն մատուցողների կարողությունների զարգացման աշխատաժողովների տարեկան թիվ, հատ</t>
  </si>
  <si>
    <t>Աշխատաժողովների մասնակիցների միջին թվաքանակ, մարդ</t>
  </si>
  <si>
    <t>2.2.3</t>
  </si>
  <si>
    <t>Թեմատիկ համաժողովների տարեկան թիվ, հատ</t>
  </si>
  <si>
    <t>Համաժողովների մասնակիցների միջին թիվ, հատ</t>
  </si>
  <si>
    <t>Վաուչերներից օգտվող կազմակերպությունների թիվ</t>
  </si>
  <si>
    <t>Մեկ մասնակցի հաշվով համաժողովի/աշխատաժողովի կազմակերպման ծախս, դրամ</t>
  </si>
  <si>
    <t>Վաուչերների արժեք, դրամ</t>
  </si>
  <si>
    <t>2.2.4</t>
  </si>
  <si>
    <t>Համագործակցային նախագծերի համաֆինանսավորման մասնաբաժին, %</t>
  </si>
  <si>
    <t>Համագործակցային նախագծերի թիվ</t>
  </si>
  <si>
    <t>Համագործակցային նախագծերի միջին արժեք, դրամ</t>
  </si>
  <si>
    <t>Համաֆինանսավորում, դրամ</t>
  </si>
  <si>
    <t>Ռազմավարական նպատակ 3</t>
  </si>
  <si>
    <t>3.1.3</t>
  </si>
  <si>
    <t>Նորարարական նախագծերի ծախսեր, դրամ</t>
  </si>
  <si>
    <t>Նորարարական նախագծերի թիվ</t>
  </si>
  <si>
    <t>Պետական համաֆինանսավորման մասնաբաժին, արտահանելի, %</t>
  </si>
  <si>
    <t>Պետական համաֆինանսավորման մասնաբաժին, ոչ արտահանելի, %</t>
  </si>
  <si>
    <t>3.1.4</t>
  </si>
  <si>
    <t>Բարձր որակավորում ունեցող միջազգային մասնագետների տարեկան թիվ մեկ կազմակերպության հաշվով</t>
  </si>
  <si>
    <t>Բարձր որակավորմամբ աշխատակցի աշխատավարձի տարեկան առավելագույն մեծություն, դրամ</t>
  </si>
  <si>
    <t>Աշխատավարձի միջին փոխհատուցվող մաս, %</t>
  </si>
  <si>
    <t>Պետական համաֆինանսավորում, դրամ</t>
  </si>
  <si>
    <t>3.2.1</t>
  </si>
  <si>
    <t>Աշխատաժողովների տարեկան թիվ, հատ</t>
  </si>
  <si>
    <t>Աշխատաժողովների մասնակիցների միջին թիվ, հատ</t>
  </si>
  <si>
    <t>Մեկ մասնակցի հաշվով աշխատաժողովի կազմակերպման ծախս, դրամ</t>
  </si>
  <si>
    <t>Աշխատավարձերի փոխհատուցում, դրամ</t>
  </si>
  <si>
    <t>Ուղեցույցների և տեղեկատվական նյութերի մշակման ծախս, դրամ</t>
  </si>
  <si>
    <t>3.2.3</t>
  </si>
  <si>
    <t>Խորհրդատվական և իրավաբանական վաուչերների միջին արժեք, դրամ</t>
  </si>
  <si>
    <t>Ռազմավարական նպատակ 4 - Ծրագիր 4.1</t>
  </si>
  <si>
    <t>4.1.1</t>
  </si>
  <si>
    <t>Կառույցի գործառնական մոդելի մշակում</t>
  </si>
  <si>
    <t>Աշխատավարձի ֆոնդ, դրամ</t>
  </si>
  <si>
    <t>4.1.3</t>
  </si>
  <si>
    <t>Էլեկտրոնային հարթակի մշակում</t>
  </si>
  <si>
    <t>Ծրագրային ապահովման սպասարկում, դրամ</t>
  </si>
  <si>
    <t>4.1.2</t>
  </si>
  <si>
    <t>Սարքավորումների, համակարգիչների, կահավորման ծախսեր մեկ աշխատողի հաշվով</t>
  </si>
  <si>
    <t>Ֆինանսական աջակցության ծառայություններ, դրամ</t>
  </si>
  <si>
    <t>4.1.8</t>
  </si>
  <si>
    <t xml:space="preserve">Կարողությունների զարգացման բյուջե մեկ աշխատակցի հաշվով, աշխատավարձի %  </t>
  </si>
  <si>
    <t>Իրազեկում և հասարակայնության հետ կապեր, դրամ</t>
  </si>
  <si>
    <t>Պարգևավճարներ</t>
  </si>
  <si>
    <t>Մյուս վարչություններ, դրամ</t>
  </si>
  <si>
    <t>4.1.9</t>
  </si>
  <si>
    <t>Տարեկան անկախ գնահատման ծախս, դրամ</t>
  </si>
  <si>
    <t>Գրասենյակի պահպանման ծախսեր, դրամ</t>
  </si>
  <si>
    <t>4.1.7</t>
  </si>
  <si>
    <t xml:space="preserve">Տեղեկատվական համակարգի ներդրում </t>
  </si>
  <si>
    <t>Գրասենյակի պահպանման ծասերի մասնաբաժինը աշխատավարձի ֆոնդի մեջ, %</t>
  </si>
  <si>
    <t>Համակարգիչներ, սարքավորումներ, կահավորում, դրամ</t>
  </si>
  <si>
    <t>Իրազեկում և հանսարակայնության հետ կապեր, դրամ</t>
  </si>
  <si>
    <t>Պարգևավճարային ֆոնդ, դրամ</t>
  </si>
  <si>
    <t>Կարողությունների զարգացման ծախսեր, դրամ</t>
  </si>
  <si>
    <t>ՓՄՁ սուբյեկտների ստեղծած համախառն ավելացված արժեք` մեկ զբաղվածի հաշվով (հազար դրամ)</t>
  </si>
  <si>
    <t>հազար դրամ</t>
  </si>
  <si>
    <t>Վ․1 հաշվարկ</t>
  </si>
  <si>
    <t>Միջին և բարձր տեխնոլոգիական արտադրանքի մասնաբաժին` վերամշակող արդյունաբերության արտահանման կազմում (%)</t>
  </si>
  <si>
    <t>%</t>
  </si>
  <si>
    <t>Վ․2 հաշվարկ</t>
  </si>
  <si>
    <t>Ապրանքների և ծառայությունների արտահանման հարաբերություն ՀՆԱ-ին (%)</t>
  </si>
  <si>
    <t>Վ․3 հաշվարկ</t>
  </si>
  <si>
    <t>Ոչ ԱՊՀ երկրներ արտահանման մասնաբաժին՝ ապրանքների արտահանման կազմում (առանց թանկարժեք և կիսաթանկարժեք քարերի, թանկարժեք մետաղների և հանքաքարի, %)</t>
  </si>
  <si>
    <t>Վ․4 հաշվարկ</t>
  </si>
  <si>
    <t>ՀՀ մարզերի մասնաբաժին՝ ՓՄՁ շրջանառության կազմում (%)</t>
  </si>
  <si>
    <t>Վ․5 հաշվարկ</t>
  </si>
  <si>
    <t>Էներգաարդյունավետություն (ՀՆԱ-ի արտադրություն առաջնային էներգիայի համախառն սպառման հաշվով, մլն․ ԱՄՆ դոլար/1000 տոննա նավթային համարժեք)</t>
  </si>
  <si>
    <t>մլն․ դոլ․/ 1000 տ․ն․հ․</t>
  </si>
  <si>
    <t>Վ․6 հաշվարկ</t>
  </si>
  <si>
    <t xml:space="preserve">Միջին ու փոքր տնտեսավարողների մասնաբաժին՝ համախառն ավելացված արժեքի կազմում (ոչ ֆինանսական բիզնես հատված, %) </t>
  </si>
  <si>
    <t>Վ․7 հաշվարկ</t>
  </si>
  <si>
    <t xml:space="preserve">Բիզնեսի խտություն (ՍՊԸ-ների թիվ` 15-64 տարեկան 1000 մարդու հաշվով)  </t>
  </si>
  <si>
    <t>միավոր/ 1000 մարդ</t>
  </si>
  <si>
    <t>Վ․8 հաշվարկ</t>
  </si>
  <si>
    <t>Նոր բիզնեսի խտություն (ՍՊԸ-ների թիվ` 15-64 տարեկան 1000 մարդու հաշվով)</t>
  </si>
  <si>
    <t>1․Մ1 հաշվարկ</t>
  </si>
  <si>
    <t>Կանանց մասնաբաժին` գործատուների կազմում (%)</t>
  </si>
  <si>
    <t>1․Մ3 հաշվարկ</t>
  </si>
  <si>
    <t>Երիտասարդների (20-29 տարեկան) մասնաբաժին` գործատուների կազմում (%)</t>
  </si>
  <si>
    <t>1․Մ4 հաշվարկ</t>
  </si>
  <si>
    <t>Միջին ու փոքր տնտեսավարողների մասնաբաժին՝ ՓՄՁ սուբյեկտների կազմում (ոչ ֆինանսական բիզնես հատված, %)</t>
  </si>
  <si>
    <t>2․Մ1 հաշվարկ</t>
  </si>
  <si>
    <t>ISO 9001 որակի կառավարման համապատասխանության սերտիֆիկատների թվաքանակ` ՀՆԱ-ի հաշվով (միավոր/համարժեք գնողունակության ՀՆԱ մլրդ․ ԱՄՆ դոլար)</t>
  </si>
  <si>
    <t>միավոր/ ՀՆԱ մլրդ․ դոլ․</t>
  </si>
  <si>
    <t>2․Մ2 հաշվարկ</t>
  </si>
  <si>
    <t>ISO 14001 շրջակա միջավայրի կառավարման համապատասխանության սերտիֆիկատների թվաքանակ` ՀՆԱ-ի հաշվով (միավոր/համարժեք գնողունակության ՀՆԱ մլրդ․ ԱՄՆ դոլար)</t>
  </si>
  <si>
    <t>2․Մ3 հաշվարկ</t>
  </si>
  <si>
    <t>Միջին բարդության տեղեկատվական և հեռահաղորդակցության տեխնոլոգիաներ օգտագործող ՓՄՁ սուբյեկտների մասնաբաժին (էլեկտրոնային առևտուր, Ի ԱՐ ՓԻ (ERP), ՍԻ ԱՐ ԷՄ (CRM), ամպային հաշվողական ծառայություններ, %)</t>
  </si>
  <si>
    <t>2․Մ4 հաշվարկ</t>
  </si>
  <si>
    <t>10 մլն. ԱՄն դոլարից ավելի շրջանառություն ունեցող տնտեսավարողների թվաքանակ (ոչ ֆինանսական բիզնես հատված, միավոր)</t>
  </si>
  <si>
    <t>միավոր</t>
  </si>
  <si>
    <t>3․Մ1 հաշվարկ</t>
  </si>
  <si>
    <t>Գյուտի արտոնագրերի թիվ` ՀՆԱ-ի հաշվով  (միավոր/համարժեք գնողունակության ՀՆԱ մլրդ․ ԱՄՆ դոլար)</t>
  </si>
  <si>
    <t>3․Մ2 հաշվարկ</t>
  </si>
  <si>
    <t>Օգտակար մոդելի արտոնագրերի թիվ` ՀՆԱ-ի հաշվով  (միավոր/համարժեք գնողունակության ՀՆԱ մլրդ․ ԱՄՆ դոլար)</t>
  </si>
  <si>
    <t>3․Մ3 հաշվարկ</t>
  </si>
  <si>
    <t>4․Մ1 հաշվարկ</t>
  </si>
  <si>
    <t>ՓՄՁ քաղաքականության համաթիվ (ՏՀԶԿ)</t>
  </si>
  <si>
    <t>5․Մ1 հաշվարկ</t>
  </si>
  <si>
    <t>Վ.1</t>
  </si>
  <si>
    <t>հզ․ դրամ</t>
  </si>
  <si>
    <t>ՓՄՁ, համախառն ավելացված արժեք (B-S)</t>
  </si>
  <si>
    <t>մլրդ․ դրամ</t>
  </si>
  <si>
    <t>ՓՄՁ, վարձու աշխատողներ (B-S)</t>
  </si>
  <si>
    <t>մարդ</t>
  </si>
  <si>
    <t>Գերփոքր, վարձու աշխատող չունեցող տնտեսավարողների թվաքանակ (B-S)</t>
  </si>
  <si>
    <t>CAGR 
2018-23</t>
  </si>
  <si>
    <t>Average growth 2018-23</t>
  </si>
  <si>
    <t>Decay constant</t>
  </si>
  <si>
    <t>Decaying growth rate</t>
  </si>
  <si>
    <t xml:space="preserve">Dataset: </t>
  </si>
  <si>
    <t>Enterprise statistics by size class and NACE Rev.2 activity (from 2021 onwards) [sbs_sc_ovw__custom_13424372]</t>
  </si>
  <si>
    <t>Time frequency</t>
  </si>
  <si>
    <t>Annual</t>
  </si>
  <si>
    <t>Economical indicator for structural business statistics</t>
  </si>
  <si>
    <t>Persons employed - number</t>
  </si>
  <si>
    <t>Value added - million euro</t>
  </si>
  <si>
    <t>Value added per employee - thousand euro</t>
  </si>
  <si>
    <t>Statistical classification of economic activities in the European Community (NACE Rev. 2)</t>
  </si>
  <si>
    <t>Industry, construction and market services (except public administration and defence; compulsory social security; activities of membership organisations)</t>
  </si>
  <si>
    <t>TIME</t>
  </si>
  <si>
    <t>2022</t>
  </si>
  <si>
    <t/>
  </si>
  <si>
    <t>SIZE_EMP (Labels)</t>
  </si>
  <si>
    <t>From 0 to 9 persons employed</t>
  </si>
  <si>
    <t>From 10 to 19 persons employed</t>
  </si>
  <si>
    <t>From 20 to 49 persons employed</t>
  </si>
  <si>
    <t>From 50 to 249 persons employed</t>
  </si>
  <si>
    <t>GEO (Labels)</t>
  </si>
  <si>
    <t>European Union - 27 countries (from 2020)</t>
  </si>
  <si>
    <t>:</t>
  </si>
  <si>
    <t>Belgium</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</si>
  <si>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</si>
  <si>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</si>
  <si>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</si>
  <si>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</si>
  <si>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</si>
  <si>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</si>
  <si>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</si>
  <si>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</si>
  <si>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</si>
  <si>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</si>
  <si>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</si>
  <si>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</si>
  <si>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</si>
  <si>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</si>
  <si>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</si>
  <si>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</si>
  <si>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</si>
  <si>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</si>
  <si>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</si>
  <si>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</si>
  <si>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</si>
  <si>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c</t>
  </si>
  <si>
    <t>Romania</t>
  </si>
  <si>
    <t>Slovenia</t>
  </si>
  <si>
    <t>Slovakia</t>
  </si>
  <si>
    <t>Finland</t>
  </si>
  <si>
    <t>Sweden</t>
  </si>
  <si>
    <t>Iceland</t>
  </si>
  <si>
    <t>Norway</t>
  </si>
  <si>
    <t>Switzerland</t>
  </si>
  <si>
    <t>e</t>
  </si>
  <si>
    <t>Bosnia and Herzegovina</t>
  </si>
  <si>
    <t>Montenegro</t>
  </si>
  <si>
    <t>North Macedonia</t>
  </si>
  <si>
    <t>Albania</t>
  </si>
  <si>
    <t>Serbia</t>
  </si>
  <si>
    <t>Վ.2</t>
  </si>
  <si>
    <t>Growth (p.p)</t>
  </si>
  <si>
    <t>World Bank WDI, Medium and high-tech exports (% manufactured exports)</t>
  </si>
  <si>
    <t>UN Comtrade, SITC medium technology: 266, 267, 512, 513, 533, 553, 554, 562, 571, 572, 573, 574, 575, 579, 581, 582, 583, 591, 593, 597, 598, 653, 671, 672, 678, 711, 712,713, 714, 721, 722, 723, 724, 725, 726, 727, 728, 731, 733, 735, 737, 741, 742, 743, 744, 745, 746, 747, 748, 749, 761, 762, 763, 772, 773, 775, 778, 781, 782, 783, 784, 785, 786, 791, 793, 811, 812, 813, 872, 873, 882, 884, 885; SITC high technology: 525, 541, 542, 716, 718, 751, 752, 759, 764, 771, 774, 776, 792, 871, 874, 881, 891.</t>
  </si>
  <si>
    <t>Medium and high-tech exports (% manufactured exports), World Bank WDI</t>
  </si>
  <si>
    <t>Georgia</t>
  </si>
  <si>
    <t>Upper middle income</t>
  </si>
  <si>
    <t>Moldova</t>
  </si>
  <si>
    <t>Slovak Republic</t>
  </si>
  <si>
    <t>Վ.3</t>
  </si>
  <si>
    <t>2018-2021 Average</t>
  </si>
  <si>
    <t>Ապրանքների և ծառայությունների արտահանում, վճարային հաշվեկշիռ</t>
  </si>
  <si>
    <t>մլրդ․ դոլար</t>
  </si>
  <si>
    <t>Դրամ/դոլար փոխարժեք</t>
  </si>
  <si>
    <t>ՀՆԱ</t>
  </si>
  <si>
    <t>Արտահանում / ՀՆԱ</t>
  </si>
  <si>
    <t>World Bank WDI, Exports of goods and services (% of GDP)</t>
  </si>
  <si>
    <t>Exports of goods and services (% of GDP), World Bank WDI</t>
  </si>
  <si>
    <t>Վ.4</t>
  </si>
  <si>
    <t>Արտահանում աշխարհ, ընդամենը</t>
  </si>
  <si>
    <t>մլն․ դոլ.</t>
  </si>
  <si>
    <t>Արտահանում աշխարհ, 26, 71</t>
  </si>
  <si>
    <t>Արտահանում  ԱՊՀ, ընդամենը</t>
  </si>
  <si>
    <t>Արտահանում  ԱՊՀ, 26, 71</t>
  </si>
  <si>
    <t>Արտահանում ոչ ԱՊՀ, ընդամենը</t>
  </si>
  <si>
    <t>Արտահանում ոչ ԱՊՀ, 26, 71</t>
  </si>
  <si>
    <t>Արտահանում աշխարհ, ոչ 26, 71</t>
  </si>
  <si>
    <t>Արտահանում ոչ ԱՊՀ, ոչ 26, 71</t>
  </si>
  <si>
    <t>%, արտահանում ոչ ԱՊՀ, ոչ 26, 71, % աշխարհի</t>
  </si>
  <si>
    <t>%, արտահանում ոչ ԱՊՀ, ընդամենը, % աշխարհի</t>
  </si>
  <si>
    <t>Վ.5</t>
  </si>
  <si>
    <t>Շրջանառություն (B-S խմբեր)</t>
  </si>
  <si>
    <t>ՓՄՁ, ընդամենը</t>
  </si>
  <si>
    <t>մլրդ․ դր․</t>
  </si>
  <si>
    <t>Երևան</t>
  </si>
  <si>
    <t xml:space="preserve">  - գերփոքր</t>
  </si>
  <si>
    <t xml:space="preserve">  - փոքր</t>
  </si>
  <si>
    <t xml:space="preserve">  - միջին</t>
  </si>
  <si>
    <t xml:space="preserve">  - ՓՄՁ</t>
  </si>
  <si>
    <t>ՓՄՁ, Մարզեր</t>
  </si>
  <si>
    <t>Վ.6</t>
  </si>
  <si>
    <t>Growth</t>
  </si>
  <si>
    <t>2018</t>
  </si>
  <si>
    <t>2019</t>
  </si>
  <si>
    <t>2020</t>
  </si>
  <si>
    <t>2021</t>
  </si>
  <si>
    <t>2023</t>
  </si>
  <si>
    <t>Ընդամենը առաջնային էներգիայի մատակարարում, 1000 տոննա նավթային համարժեք, Արմստատ</t>
  </si>
  <si>
    <t>1000 տ․ն․հ․</t>
  </si>
  <si>
    <t>GDP, PPP (constant 2021 international ), World Bank WDI</t>
  </si>
  <si>
    <t>մլն․ դոլար</t>
  </si>
  <si>
    <t>Վ.7</t>
  </si>
  <si>
    <t>Համախառն ավելացված արժեք (մլրդ․ դրամ, հիմնական գներով)  (B-S խմբեր)</t>
  </si>
  <si>
    <t>Ընդամենը</t>
  </si>
  <si>
    <t>ՓՄՁ</t>
  </si>
  <si>
    <t>Խոշոր</t>
  </si>
  <si>
    <t>Գերփոքր և փոքր</t>
  </si>
  <si>
    <t>Գերփոքր, ընդամենը</t>
  </si>
  <si>
    <t>Փոքր</t>
  </si>
  <si>
    <t>Միջին</t>
  </si>
  <si>
    <t>Enterprise statistics by size class and NACE Rev.2 activity (from 2021 onwards) [sbs_sc_ovw__custom_13222627]</t>
  </si>
  <si>
    <t>Total</t>
  </si>
  <si>
    <t>Medium &amp; Small Share</t>
  </si>
  <si>
    <t>SME share</t>
  </si>
  <si>
    <t>From 2 to 9 persons employed</t>
  </si>
  <si>
    <t>250 persons employed or more</t>
  </si>
  <si>
    <t>Վ.8</t>
  </si>
  <si>
    <t>Adult population - Population ages 15-64, total, World Bank WDI</t>
  </si>
  <si>
    <t>Total Number of
Limited Liability Companies, World Bank</t>
  </si>
  <si>
    <t>Total density rate</t>
  </si>
  <si>
    <t>Belarus</t>
  </si>
  <si>
    <t>Kazakhstan</t>
  </si>
  <si>
    <t>Kosovo</t>
  </si>
  <si>
    <t>Kyrgyz Republic</t>
  </si>
  <si>
    <t>North Macedonia, Rep</t>
  </si>
  <si>
    <t>Russian Federation</t>
  </si>
  <si>
    <t>Tajikistan</t>
  </si>
  <si>
    <t>Ukraine</t>
  </si>
  <si>
    <t>Uzbekistan</t>
  </si>
  <si>
    <t>Adult population - Population ages 15-64, total, WDI, World Bank</t>
  </si>
  <si>
    <t>Number of New
Limited Liability Companies</t>
  </si>
  <si>
    <t>New business density rate</t>
  </si>
  <si>
    <t>1.Մ2-3</t>
  </si>
  <si>
    <t>1.Մ4</t>
  </si>
  <si>
    <t>Գործատուներ</t>
  </si>
  <si>
    <t xml:space="preserve"> - Ընդամենը</t>
  </si>
  <si>
    <t xml:space="preserve"> - Կին</t>
  </si>
  <si>
    <t xml:space="preserve"> - 20-29 տարեկան</t>
  </si>
  <si>
    <t>Share of women among employers, %</t>
  </si>
  <si>
    <t>Canada</t>
  </si>
  <si>
    <t>Israel</t>
  </si>
  <si>
    <t>Kyrgyzstan</t>
  </si>
  <si>
    <t>Liechtenstein</t>
  </si>
  <si>
    <t>Republic of Moldova</t>
  </si>
  <si>
    <t>Turkiye</t>
  </si>
  <si>
    <t>Տնտեսավարողների քանակ (B-S խմբեր)</t>
  </si>
  <si>
    <t>Փոքր ու միջին ձեռնարկություններ</t>
  </si>
  <si>
    <t>Գերփոքր, վարձու աշխատող ունեցող</t>
  </si>
  <si>
    <t>Գերփոքր, վարձու աշխատող չունեցող (ԱՁ)</t>
  </si>
  <si>
    <t>Business demography by size class and NACE Rev. 2 activity [bd_size__custom_13240852]</t>
  </si>
  <si>
    <t>Age class</t>
  </si>
  <si>
    <t>Enterprises - number</t>
  </si>
  <si>
    <t>SIZECLAS (Labels)</t>
  </si>
  <si>
    <t>10 employees or more</t>
  </si>
  <si>
    <t>&gt;10 / Total</t>
  </si>
  <si>
    <t>Euro area – 20 countries (from 2023)</t>
  </si>
  <si>
    <t>Euro area - 19 countries  (2015-2022)</t>
  </si>
  <si>
    <t>b</t>
  </si>
  <si>
    <t>Türkiye</t>
  </si>
  <si>
    <t>Global Innovation Index: ISO 9001 quality certificates/bn PPP GDP</t>
  </si>
  <si>
    <t>https://prosperitydata360.worldbank.org/en/indicator/WIPO+GII+170</t>
  </si>
  <si>
    <t>Global Innovation Index: ISO 14001 environmental certificates/bn PPP GDP</t>
  </si>
  <si>
    <t>Growth (p.p.)</t>
  </si>
  <si>
    <t>1-9</t>
  </si>
  <si>
    <t>10-49</t>
  </si>
  <si>
    <t>50-249</t>
  </si>
  <si>
    <t>&gt;250</t>
  </si>
  <si>
    <t>Տնտեսավարող սուբյեկտների քանակ, միավոր</t>
  </si>
  <si>
    <t>Էլեկտրոնային առևտուր</t>
  </si>
  <si>
    <t>ERP</t>
  </si>
  <si>
    <t>CRM</t>
  </si>
  <si>
    <t>Ամպային հաշվողական ծառայություններ</t>
  </si>
  <si>
    <t>10 մլն․ դոլ․-ին համարժեք մլն․ դրամ</t>
  </si>
  <si>
    <t>10 մլն ԱՄն դոլարից ավելի շրջանառություն ունեցող ՓՄՁ սուբյեկտների թվաքանակ (ոչ ֆինանսական բիզնես հատված)</t>
  </si>
  <si>
    <t>Global Innovation Index: Patents by origin/bn PPP GDP</t>
  </si>
  <si>
    <t>Global Innovation Index: Utility models by origin/bn PPP GDP</t>
  </si>
  <si>
    <t xml:space="preserve">Աջակցություն փոքր և միջին ձեռնարկատիրությանը </t>
  </si>
  <si>
    <t>հազ․ դր․</t>
  </si>
  <si>
    <t>Գիտելիքահենք, նորարարական տնտեսությանը և փոքր ու միջին ձեռնարկատիրությանը աջակցություն</t>
  </si>
  <si>
    <t>ՓՄՁ-ի սուբյեկտներին աջակցության ծրագրերի համակարգում և կառավարում</t>
  </si>
  <si>
    <t>Բարձր որակավորում ունեցող մասնագետների ներգրավման նպատակով տնտեսավարողներին աջակցություն</t>
  </si>
  <si>
    <t>Տնտեսության արդիականացման միջոցառմանը պետական աջակցություն</t>
  </si>
  <si>
    <t>Պետական բյուջեի եկամուտներ</t>
  </si>
  <si>
    <t>ավելացված արժեքի հարկ</t>
  </si>
  <si>
    <t>շահութահարկ</t>
  </si>
  <si>
    <t>շրջանառության հարկ</t>
  </si>
  <si>
    <t>ընդամենը</t>
  </si>
  <si>
    <t>SME Policy Index</t>
  </si>
  <si>
    <t>A.1</t>
  </si>
  <si>
    <t>A.2</t>
  </si>
  <si>
    <t>A.3</t>
  </si>
  <si>
    <t>B.1</t>
  </si>
  <si>
    <t>B.2</t>
  </si>
  <si>
    <t>C.1</t>
  </si>
  <si>
    <t>D.1</t>
  </si>
  <si>
    <t>D.2</t>
  </si>
  <si>
    <t>D.3</t>
  </si>
  <si>
    <t>E.1</t>
  </si>
  <si>
    <t>E.2</t>
  </si>
  <si>
    <t>E.3</t>
  </si>
  <si>
    <t>Average</t>
  </si>
  <si>
    <t>Strategic Goal 1</t>
  </si>
  <si>
    <t>A</t>
  </si>
  <si>
    <t>Monthly payments</t>
  </si>
  <si>
    <t>Interest</t>
  </si>
  <si>
    <t>Subsidy</t>
  </si>
  <si>
    <t>Remaining</t>
  </si>
  <si>
    <t>r</t>
  </si>
  <si>
    <t>Loan amount</t>
  </si>
  <si>
    <t>1+r</t>
  </si>
  <si>
    <t>SUBSIDIES</t>
  </si>
  <si>
    <t>borrowers</t>
  </si>
  <si>
    <t xml:space="preserve">total subsidies </t>
  </si>
  <si>
    <t>GUARANTEES</t>
  </si>
  <si>
    <t>guarantees</t>
  </si>
  <si>
    <t>porfolio size total</t>
  </si>
  <si>
    <t>Repayments</t>
  </si>
  <si>
    <t>Strategic Goal 2 - Loan</t>
  </si>
  <si>
    <t>Subsidy exportable</t>
  </si>
  <si>
    <t>Subsidy non exportable</t>
  </si>
  <si>
    <t>SUBSIDIES - exportable</t>
  </si>
  <si>
    <t>Subsidy non-exportable</t>
  </si>
  <si>
    <t>SUBSIDIES - non exportable</t>
  </si>
  <si>
    <t>GUARANTEES - exportable &amp; non-exportable</t>
  </si>
  <si>
    <t>Strategic Goal 2 - Leasing</t>
  </si>
  <si>
    <t>Leasing amount</t>
  </si>
  <si>
    <t>Advance payment</t>
  </si>
  <si>
    <t>Strategic Goal 4 - Hub</t>
  </si>
  <si>
    <t>Ամսական աշխատավարձ, դրամ</t>
  </si>
  <si>
    <t>Աշխատակիցների թիվ</t>
  </si>
  <si>
    <t>Գլխավոր տնօրեն</t>
  </si>
  <si>
    <t>Աջակցող ծառայությունների վարչություն</t>
  </si>
  <si>
    <t>Գլխավոր հաշվապահ</t>
  </si>
  <si>
    <t>Հաշվապահ</t>
  </si>
  <si>
    <t>Գլխավոր իրավաբան</t>
  </si>
  <si>
    <t>Իրավաբան</t>
  </si>
  <si>
    <t>Գնումների մասնագետ</t>
  </si>
  <si>
    <t>Բյուջեի վերլուծաբան</t>
  </si>
  <si>
    <t>Մարդկային ռեսուրսների մասնագետ</t>
  </si>
  <si>
    <t>Ծրագրային ապահովման և սպասարկման մասնագետ</t>
  </si>
  <si>
    <t>Օգնական</t>
  </si>
  <si>
    <t>Ընդունարանի աշխատակից</t>
  </si>
  <si>
    <t>Անվտանգության պատասխանատու</t>
  </si>
  <si>
    <t>Ձեռներեցության զարգացման և աջակցության վարչութուն</t>
  </si>
  <si>
    <t>Վարչության պետ</t>
  </si>
  <si>
    <t>Ծրագրերի համակարգող</t>
  </si>
  <si>
    <t>Ծրագրերի փորձագետ/վերլուծաբան</t>
  </si>
  <si>
    <t>Տեխնոլոգիաների փոխանցման վարչություն</t>
  </si>
  <si>
    <t>Միջազգայնացման և արտահանման կարողությունների զարգացման  վարչություն</t>
  </si>
  <si>
    <t>Ֆինանսական աջակցության վարչություն</t>
  </si>
  <si>
    <t>Հասարակայնության հետ կապերի և հաղորդակցության ծառայություններ</t>
  </si>
  <si>
    <t>Շուկայավարման մասնագետ</t>
  </si>
  <si>
    <t>Թեժ գծի օպերատոր</t>
  </si>
  <si>
    <t>Մշտադիտարկման և գնահատման ծառայություններ</t>
  </si>
  <si>
    <t>Վերլուծաբան</t>
  </si>
  <si>
    <t>Strategic goal 4 - Platform and Operational Model</t>
  </si>
  <si>
    <t>Platform</t>
  </si>
  <si>
    <t>Monthly salary</t>
  </si>
  <si>
    <t>Duration, months</t>
  </si>
  <si>
    <t>Operational model</t>
  </si>
  <si>
    <t>Ministry of Economy - Functional Review</t>
  </si>
  <si>
    <t>Հայաստանը որպես ներառական և դիմակայուն երկիր՝ նորարարական և մրցունակ ՓՄՁ-ների միջոցով կայուն աճող դինամիկ տնտեսությամբ</t>
  </si>
  <si>
    <t>Զարգացած ձեռնարկատիրական մշակույթ, նորարարական լուծումներ առաջարկող և մրցունակ ՓՄՁ-ների թվաքանակի աճ՝ հատկապես մարզերում՝ կանանց և երիտասարդների ակտիվ ներգրավմամբ</t>
  </si>
  <si>
    <t>ՓՄՁ-ների արդիականացում և արտադրողականության կայուն աճ</t>
  </si>
  <si>
    <t>Բարձր ԳՓՆ ինտենսիվության հիման վրա ՓՄՁ-ների միջազգայնացում և մասշտաբայնացում</t>
  </si>
  <si>
    <t>ՓՄՁ քաղաքականության մշակման և իրականացման համար բարձր կարողություններ ունեցող և զարգացած ինստիտուցիոնալ համակարգ</t>
  </si>
  <si>
    <t>Հայաստանում ՓՄՁ մրցունակության աճը խթանելու համար բարենպաստ պայմաններ ստեղծող գործարար միջավայր</t>
  </si>
  <si>
    <t>ՀՀ պետական բյուջեի՝ ՓՄՁ աջակցության ծախսերի հարաբերություն շահութահարկի, ԱԱՀ-ի ու շրջանառության հարկի գծով եկամուտներին, %</t>
  </si>
  <si>
    <t>ՓՄՁ աջակցության լիազոր մարմնի կողմից աջակցություն ստացած տնտեսավարողների կազմում մարզային տնտեսավարողների մասնաբաժին (%)</t>
  </si>
  <si>
    <t>ՓՄՁ աջակցության լիազոր մարմնի ծախսերի կազմում վարչական ծախսերի մասնաբաժին (%)</t>
  </si>
  <si>
    <t>ՓՄՁ աջակցության լիազոր մարմնի կողմից աջակցություն ստացած տնտեսավարողների շրջանառության աճի դրույքի հարաբերություն ՓՄՁ տնտեսավարողների շրջանառության աճի դրույքին</t>
  </si>
  <si>
    <t>Ծրագիր 1.1. «Գաղափարից դեպի բիզնես» ծրագրի իրականացում</t>
  </si>
  <si>
    <t xml:space="preserve">Ծրագիր 1.2. Ձեռներեցությամբ զբաղվելու հնարավորությունների ընդլայնում և մշակույթի զարգացում </t>
  </si>
  <si>
    <t xml:space="preserve">Ինկուբացիոն ծրագրերի իրականացում ՀՀ մարզերում </t>
  </si>
  <si>
    <t>Ծրագիր 2․2. ՓՄՁ-ների կարողությունների զարգացում և համագործակցային նախագծերի խթանում</t>
  </si>
  <si>
    <t>Ծրագիր 4․1․ ՓՄՁ աջակցության մարմնի կարողությունների զարգացում և արդյունավետ գործունեության ապահովում</t>
  </si>
  <si>
    <t>Ձեռներեցության աջակցության լիազոր մարմնի (կամ գործող մարմնի կազմում կառուցվածքային ստորաբաժանման) գործառնական մոդելի մշակում, բիզնես գործընթացների և կառուցվածքի նախագծում, գործառույթների բաշխում և անհրաժեշտ ռեսուրսների քարտեզագրում</t>
  </si>
  <si>
    <t xml:space="preserve">Մասնագիտացված կազմակերպության կողմից կիրականացվի մարմնի կառուցվածքային ստորաբաժանման գործառնական մոդելի մշակում, որի շրջանակներում կսահմանվեն մարմնի կազմակերպաիրավական ձևը, գործունեության նպատակը, խնդիրները, գործառույթները, հիմնական կառուցվածքային ստորաբաժանումները, հաստիքացուցակը, հաստիքների անձնագրերը, կքարտեզագրվեն բիզնես գործընթացները։ Մարմնի կայուն գործունեությունը ապահովելու համար կառաջարկվեն նաև սեփական եկամտի ձևավորման աղբյուրներ, մշտադիտարկման և գնահատման, տվյալների կառավարման մեխանիզմներ, գործունեության ընթացակարգեր։ </t>
  </si>
  <si>
    <t xml:space="preserve">Ծրագիր 4․2․ ՓՄՁ քաղաքականության մշակման իրավական հիմքերի ամրապնդում, արդյունավետ մեխանիզմների ներդրում և կարողությունների զարգացում </t>
  </si>
  <si>
    <t>Միջոցառում 4.2.4</t>
  </si>
  <si>
    <t>4.1.5ա1</t>
  </si>
  <si>
    <t>4.2.4ա1</t>
  </si>
  <si>
    <t>«Փոքր և միջին ձեռնարկատիրության պետական աջակցության մասին» օրենքի վերանայում</t>
  </si>
  <si>
    <t>Ծրագրով նախատեսվում է նաև ամրապնդել քաղաքականության մշակման իրավական հիմքերը, մասնավորապես՝ գործող «Փոքր և միջին ձեռնարկատիրության պետական աջակցության մասին» օրենքի վերանայման միջոցով։ Առաջարկվում է օրենքում ամրագրել ռազմավարական պլանավորման անհրաժեշտությունը՝ հոդված 4-ում սահմանելով ՓՄՁ զարգացման ռազմավարական ծրագիր մշակելու և ընդունելու պահանջը։ Վերջինս պետք է հիմք ծառայի տարեկան աջակցության ծրագրերի ձևավորման և իրագործման համար։ Ռազմավարական և տարեկան աջակցության ծրագրերը պետք է հիմնված լինեն ոլորտային վերլուծությունների վրա, սահմանեն մշտադիտարկման և գնահատման հստակ մեխանիզմներ, ինչպես նաև ազգային տնտեսական թիրախներին համապատասխանող ցուցանիշներ, որոնց կատարման արդյունքները պետք է պարբերաբար հրապարակվեն՝ թափանցիկություն և հաշվետվողականություն ապահովելու համար։ Ծրագրերի մշակման գործընթացը պետք է ներգրավի ՓՄՁ ներկայացուցիչներին՝ պետություն-մասնավոր երկխոսության հարթակների միջոցով։ Բացի այդ, առաջարկվում է օրենքով ամրագրել ՓՄՁ վիճակագրության համապարփակ հավաքման և վերլուծության անհրաժեշտությունը։ Անհրաժեշտ է ապահովել ՓՄՁ շրջանառություն, զբաղվածություն, ավելացված արժեք, արտահանում, նորարարական գործունեության և թվայնացման ցուցանիշների պարբերաբար հավաքում և հրապարակում։ Առաջարկվում է նաև վերանայել 3-րդ հոդվածով  սահմանվող աջակցության ուղղությունների ցանկը, ներառելով մասնավորապես՝ թվային տեխնոլոգիաների ներդրման և էլեկտրոնային առևտրի խթանումը, կանաչ և կայուն բիզնես մոդելների համար խթանները, ժամանակակից կրթական ծրագրերը (օր.` ինկուբացիոն և աքսելերացիոն ծրագրեր) և ռիսկային ներդրումների ֆինանսավորմանն աջակցությունը։</t>
  </si>
  <si>
    <t>Օրենքում փոփոխությունները կատավել են (Այո/Ոչ)</t>
  </si>
  <si>
    <t>Միջոցառում 5.1.4</t>
  </si>
  <si>
    <t>5.1.4ա1</t>
  </si>
  <si>
    <t xml:space="preserve"> Ձեռներեցության աջակցության մարմին, </t>
  </si>
  <si>
    <t>Նպատակային դրամաշնորհներ ոլորտային միությունների, բիզնես ասոցացիաների, առևտրաարդյունաբերական պալատների համար</t>
  </si>
  <si>
    <t>Միջոցառումը ենթադրում է նաև թիրախավորված համագործակցություն բիզնես միավորումների հետ, որը կստեղծի համապատասխան հնարավորությունները և խթանները դրանց հզորացման, ընդլայնման և կայունության համար։ Կնախատեսվեն նպատակային դրամաշնորհներ ոլորտային միությունների, բիզնես ասոցացիաների, առևտրաարդյունաբերական պալատների համար։ Դրամաշնորհները կծառայեն ՓՄՁ զարգացման որոշ ծրագրերի արտապատվիրակմանը՝ հատկապես մարզերում։ Դրամաշնորհների տրամադրման համար կսահմանվեն հստակ չափանիշներ, որոնց համապատասխանող միություններն իրավունք կունենան մասնակցելու մրցութային գործընթացին։ Մասնավորապես, կսահմանվի անդամավճար վճարող անդամների նվազագույն մասնաբաժինը ընդհանուր անդամների թվում, անդամների նվազագույն քանակը, տարեկան հավաքված անդամավճարների նվազագույն գումարը և կառանձնացվեն միությունների կողմից ներկայացվող առաջնահերթ ոլորտները։</t>
  </si>
  <si>
    <t>5.1.4ա2</t>
  </si>
  <si>
    <t>Դրամաշնորհների միջոցով իրականացված ծրագրերի քանակ</t>
  </si>
  <si>
    <t>Ռազմավարական նպատակ 5 - Ծրագիր 5․1</t>
  </si>
  <si>
    <t>5.1.4</t>
  </si>
  <si>
    <t>Աջակցության ենթակա ասոցացիաների միջին թիվ</t>
  </si>
  <si>
    <t>Դրամաշնորհների ֆոնդ, դրամ</t>
  </si>
  <si>
    <t>Դրամաշնորհ ստացած միավորումների անդամ ձեռնարկությունների թիվ</t>
  </si>
  <si>
    <t>Աջակցության ստացած միավորումների թիվ</t>
  </si>
  <si>
    <t>Դրամաշնորհի միջին չափ, դրամ</t>
  </si>
  <si>
    <t>Աջակցություն ստացած միավորումների անդամների թիվ</t>
  </si>
  <si>
    <t>Ընդհանուր
 (2025-2030)</t>
  </si>
  <si>
    <t>Ընդհանուր ֆինանսավորում, դրամ</t>
  </si>
  <si>
    <t>Ընդհանուր ֆինանսավորում, ԱՄՆ դոլար</t>
  </si>
  <si>
    <t>Ըստ ֆինանսավորման աղբյուրների</t>
  </si>
  <si>
    <t>Պետական բյուջեից, դրամ</t>
  </si>
  <si>
    <t>Միջազգային և դոնոր կազմակերպություններից, դրամ</t>
  </si>
  <si>
    <t>Պետական բյուջեից, ԱՄՆ դոլար</t>
  </si>
  <si>
    <t>Միջազգային և դոնոր կազմակերպություններից, ԱՄՆ դոլար</t>
  </si>
  <si>
    <t>Պետական բյուջեից, %</t>
  </si>
  <si>
    <t>Միջազգային և դոնոր կազմակերպություններից, %</t>
  </si>
  <si>
    <t>Ըստ ծախսերի տեսակների</t>
  </si>
  <si>
    <t>Ծրագրային ծախսեր, դրամ</t>
  </si>
  <si>
    <t>Վարչական ծախսեր, դրամ</t>
  </si>
  <si>
    <t>Ծրագրային ծախսեր, ԱՄՆ դոլար</t>
  </si>
  <si>
    <t>Վարչական ծախսեր, ԱՄՆ դոլար</t>
  </si>
  <si>
    <t>Ծրագրային ծախսերի բաշխում</t>
  </si>
  <si>
    <t>Եկամուտներ</t>
  </si>
  <si>
    <t>Պետական պարտատոմսերից ստացված եկամուտ, դրամ</t>
  </si>
  <si>
    <t>Եկամուտների կշիռն ընդհանուր ծախսերի մեջ, %</t>
  </si>
  <si>
    <t>ԱՄՆ դոլարի նկատմամբ ՀՀ դրամի փոխարժեք, 2024թ․ վերջի դրությամբ</t>
  </si>
  <si>
    <t>Ֆինանսների հասանելիություն (սուբսիդավորում, երաշխիքներ, դրամաշնորհներ)</t>
  </si>
  <si>
    <t>Ձեռնարկությունների կարողությունների զարգացում (կրթական ծրագրեր, միջոցառումներ, վաուչերներ կրթական ծրագրերից օգտվելու համար, խորհրդատվական ծառայությունների համաֆինանսավորում)</t>
  </si>
  <si>
    <t>Ֆինանսների հասանելիություն (սուբսիդավորում, երաշխիքներ, դրամաշնորհներ), % ծրագրային բյուջեում</t>
  </si>
  <si>
    <t>Ձեռնարկությունների կարողությունների զարգացում (կրթական ծրագրեր, միջոցառումներ, վաուչերներ կրթական ծրագրերից օգտվելու համար, խորհրդատվական ծառայությունների համաֆինանսավորում), % ծրագրային բյուջեում</t>
  </si>
  <si>
    <t>Ծրագրային ծախսեր, % տարեկան բյուջեում</t>
  </si>
  <si>
    <t>Վարչական ծախսեր, % տարեկան բյուջեում</t>
  </si>
  <si>
    <t xml:space="preserve">Ծրագիր 1.1, Ծրագիր 1.2, Ծրագիր 2.1, Ծրագիր 2.2, Ծրագիր 3.1, Ծրագիր 3.2 շրջանակում նախատեսվող հանրային իրազեկման, ինչպես նաև առկա աջակցության մեխանիզմների վերաբերյալ տեղեկատվական ծառայությունների ու ուղղորդման ծառայությունները կմատուցվեն Ձեռներեցության աջակցության մարմնի համապատասխան ստորաբաժանման/մասնագետների կողմից։ 
Կմշակվի նաև Ձեռներեցության ազգային էլեկտրոնային հարթակ աջակցության ծրագրերի ու համագործակցային հնարավորությունների վերաբերյալ տեղեկատվության տրամադրման համար։ Վերջինիս կառավարումը, արդյունավետ գործունեության ապահովումը և շարունակական բարելավումը կիրականացվի Ձեռներեցության աջակցության մարմնի կողմից:
Հարթակում կներդրվեն տարատեսակ ուսումնական նյութեր, ուղեցույցներ ու ձևանմուշներ, մասնագիտացված ծառայություններ մատուցող կազմակերպությունների, անհատ փորձագետների և միջազգային դոնոր կազմակերպությունների կողմից իրականացվող ծրագրերի ռեեստրներ։ Կներդրվեն նաև թվային գործիքներ և հաշվիչներ, որոնք թույլ կտան կանխատեսել, գնահատել և հաղթահարել ՓՄՁ-ների ֆինանսական ու գործառնական ռիսկերը՝ խուսափելով ձախողման և անվճարունակության ռիսկից։ </t>
  </si>
  <si>
    <t>Ռազմավարական ծրագրի արդյունավետ իրականացման և մարմնի կայուն գործունեության ապահովման համար կներդրվեն տվյալների հավաքմանը, վերլուծությանը և ազդեցության գնահատմանն ուղղված տեղեկատվական համակարգեր: Կվերլուծվեն ինչպես աջակցության ծրագրերի շահառուների վերաբերյալ հավաքված տվյալները, այնպես էլ պետական այլ գերատեսչություններից՝ մասնավորապես, ՀՀ ՊԵԿ, ՀՀ ՎԿ ստացված վիճակագրությունը։ Նման մեխանիզմները թույլ կտան գնահատել և ընդլայնել աջակցության ծրագրերից ստացվող արդյունքները:
Բանկերի և վարկային կազմակերպությունների հետ համագործակցության միջոցով համակարգը նաև կծառայի շահառուների ֆինանսական վիճակի և զարգացման դինամիկայի վերլուծությանը՝ թույլ տալով նախանշել ու իրագործել կանխարգելիչ և ուղղիչ միջամտություններ (օրինակ՝ վարկային արձակուրդների տրամադրում, վարկառուների կարողությունների զարգացման ծրագրերի առաջարկում)։
Համակարգերը ենթակա են շարունակական կատարելագործման` կախված կիրառման ընթացքում առաջացող կարիքներից և խնդիրներից:</t>
  </si>
  <si>
    <t>Միջոցառումը ներառում է ամենամյա թեմատիկ համաժողովների/աշխատաժողովների կազմակերպում՝ ձեռներեցների և մասնագիտացված կազմակերպությունների ու փորձագետների կարողությունների և իրազեկվածության բարձրացման նպատակով հետևյալ հիմնական ոլորտներում․
• Թվայնացման ռազմավարությունների մշակում և իրագործում, տեխնոլոգիական արդիականացում,
• Բիզնես գործընթացների օպտիմալացում, կառավարման արդիական մոտեցումներ,
• Կառավարման համակարգերի ստանդարտների ներդրում (որակի կառավարման և սննդի անվտանգության համապատասխանության սերտիֆիկատներըm օրինակ՝ ISO 9001, ISO 22000, FSSC, ինչպես նաև կայունության, շրջակա միջավայրի կառավարման և սոցիալական համապատասխանության սերտիֆիկատները, օրինակ՝ ISO 14001, SA8000, SEDEX, BSCI, SMETA, EU Ecolabel, 
• Կանաչ տեխնոլոգիաներ և շրջանաձև տնտեսություն,
• Տվյալների հավաքման, մշակման, հետազոտության, կիրառման  և պաշտպանության մշակույթի զարգացում։
Համաժողովները/աշխատաժողովները կծառայեն որպես հարթակ՝ փորձի փոխանակման և նորարարական լուծումների տարածման համար։</t>
  </si>
  <si>
    <t>Այն դեպքում, երբ արտոնյալ վարկավորման տրամադրման համար առկա է գրավադրման խնդիր, մասնակիցը կարող է դիմել վարկի մայր գումարի մինչև 80%-ին համարժեք երաշխիքի ստացման։ Այս մոտեցումը կօգնի բարելավել վարկի հասանելիությունը սկսնակ բիզնեսների համար, որոնք հաճախ ունեն գրավի սահմանափակ ռեսուրսներ։</t>
  </si>
  <si>
    <t xml:space="preserve">Ինկուբացիոն ծրագրի այն մասնակիցները, որոնց գործարար նախագծերը նպաստում են կանաչ զարգացմանը և/կամ պարունակում են նորարարական բաղադրիչ, կստանան համաֆինանսավորվող դրամաշնորհներ։ Կհամաֆինանսավորվի մասնակցի կողմից ներկայացված նախագծի իրագործման ծախսերի մինչև 70%-ը: Ծրագրի իրականացման ծախսերի մյուս մասը ենթակա է ֆինանսավորման ձեռներեցի սեձական միջոցներից կամ գործընկեր բանկի/վարկային կազմակերպության կողմից համաֆինանսավորման։ </t>
  </si>
  <si>
    <t>ՀՀ ԷՆ,
Տեղական ինքնակառավարման մարմիններ (համաձայնությամբ)</t>
  </si>
  <si>
    <t>Հանրակրթական, արհեստագործական և միջին մասնագիտական ուսումնական ծրագրերում ձեռնարկատիրական կրթության շարունակական իրականացում</t>
  </si>
  <si>
    <t xml:space="preserve">Ձեռներեցության մշակույթի զարգացման համար նախատեսվում է ընդլայնել ձեռնարկատիրական կրթությունը հանրակրթական, արհեստագործական և միջին մասնագիտական ուսումնական ծրագրերում։ Կշեշտադրվի բիզնեսի պլանավորման, նորարարության, նախագծերի կառավարման, ֆինանսական գրագիտության և շուկայավարման հմտությունների զարգացումը։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</si>
</sst>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0.00_);_(&quot;$&quot;* \(#,##0.00\);_(&quot;$&quot;* &quot;-&quot;??_);_(@_)"/>
    <numFmt numFmtId="43" formatCode="_(* #,##0.00_);_(* \(#,##0.00\);_(* &quot;-&quot;??_);_(@_)"/>
    <numFmt numFmtId="164" formatCode="_-* #,##0.00_-;\-* #,##0.00_-;_-* &quot;-&quot;??_-;_-@_-"/>
    <numFmt numFmtId="165" formatCode="_(* #,##0_);_(* \(#,##0\);_(* &quot;-&quot;??_);_(@_)"/>
    <numFmt numFmtId="166" formatCode="##,##0.0;\(##,##0.0\);\-"/>
    <numFmt numFmtId="167" formatCode="0.0%"/>
    <numFmt numFmtId="168" formatCode="0.00000"/>
    <numFmt numFmtId="169" formatCode="_(* #,##0_);_(* \(#,##0\);_(* &quot;-&quot;?_);_(@_)"/>
    <numFmt numFmtId="170" formatCode="_(* #,##0.0_);_(* \(#,##0.0\);_(* &quot;-&quot;??_);_(@_)"/>
    <numFmt numFmtId="171" formatCode="0.0"/>
    <numFmt numFmtId="172" formatCode="#,##0.##########"/>
    <numFmt numFmtId="173" formatCode="#,##0.0"/>
    <numFmt numFmtId="174" formatCode="0.000"/>
  </numFmts>
  <fonts count="57">
    <font>
      <sz val="11"/>
      <color theme="1"/>
      <name val="Calibri"/>
      <family val="2"/>
      <scheme val="minor"/>
    </font>
    <font>
      <sz val="11"/>
      <color theme="1"/>
      <name val="Calibri"/>
      <family val="2"/>
      <scheme val="minor"/>
    </font>
    <font>
      <sz val="11"/>
      <color rgb="FF000000"/>
      <name val="Calibri"/>
      <family val="2"/>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sz val="8"/>
      <name val="GHEA Grapalat"/>
      <family val="2"/>
    </font>
    <font>
      <b/>
      <sz val="18"/>
      <color theme="3"/>
      <name val="Calibri Light"/>
      <family val="2"/>
      <scheme val="major"/>
    </font>
    <font>
      <sz val="11"/>
      <color rgb="FF9C6500"/>
      <name val="Calibri"/>
      <family val="2"/>
      <scheme val="minor"/>
    </font>
    <font>
      <i/>
      <sz val="9"/>
      <name val="GHEA Grapalat"/>
      <family val="2"/>
    </font>
    <font>
      <sz val="11"/>
      <name val="GHEA Grapalat"/>
      <family val="3"/>
    </font>
    <font>
      <b/>
      <sz val="11"/>
      <name val="GHEA Grapalat"/>
      <family val="3"/>
    </font>
    <font>
      <sz val="11"/>
      <color theme="1"/>
      <name val="Gill Sans MT"/>
      <family val="2"/>
    </font>
    <font>
      <sz val="8"/>
      <name val="Calibri"/>
      <family val="2"/>
      <scheme val="minor"/>
    </font>
    <font>
      <sz val="10"/>
      <name val="Arial"/>
      <family val="2"/>
    </font>
    <font>
      <u/>
      <sz val="10"/>
      <color theme="10"/>
      <name val="Arial"/>
      <family val="2"/>
    </font>
    <font>
      <b/>
      <sz val="11"/>
      <color theme="0"/>
      <name val="GHEA Grapalat"/>
      <family val="3"/>
    </font>
    <font>
      <b/>
      <sz val="11"/>
      <color theme="3"/>
      <name val="GHEA Grapalat"/>
      <family val="3"/>
    </font>
    <font>
      <sz val="11"/>
      <color theme="3"/>
      <name val="GHEA Grapalat"/>
      <family val="3"/>
    </font>
    <font>
      <u/>
      <sz val="11"/>
      <color theme="10"/>
      <name val="Calibri"/>
      <family val="2"/>
      <scheme val="minor"/>
    </font>
    <font>
      <b/>
      <sz val="14"/>
      <color theme="0"/>
      <name val="GHEA Grapalat"/>
      <family val="3"/>
    </font>
    <font>
      <i/>
      <sz val="11"/>
      <name val="GHEA Grapalat"/>
      <family val="3"/>
    </font>
    <font>
      <i/>
      <sz val="11"/>
      <color theme="1"/>
      <name val="Calibri"/>
      <family val="2"/>
      <scheme val="minor"/>
    </font>
    <font>
      <sz val="8"/>
      <color rgb="FF404040"/>
      <name val="Primary"/>
    </font>
    <font>
      <b/>
      <sz val="14"/>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i/>
      <sz val="11"/>
      <name val="Calibri"/>
      <family val="2"/>
      <scheme val="minor"/>
    </font>
    <font>
      <sz val="11"/>
      <color theme="1"/>
      <name val="GHEA Grapalat"/>
      <family val="3"/>
    </font>
    <font>
      <u/>
      <sz val="11"/>
      <color theme="0" tint="-0.499984740745262"/>
      <name val="Calibri"/>
      <family val="2"/>
      <scheme val="minor"/>
    </font>
    <font>
      <sz val="9"/>
      <name val="Arial"/>
      <family val="2"/>
    </font>
    <font>
      <b/>
      <sz val="9"/>
      <name val="Arial"/>
      <family val="2"/>
    </font>
    <font>
      <b/>
      <sz val="9"/>
      <color indexed="9"/>
      <name val="Arial"/>
      <family val="2"/>
    </font>
    <font>
      <sz val="11"/>
      <color theme="0" tint="-0.499984740745262"/>
      <name val="Calibri"/>
      <family val="2"/>
      <scheme val="minor"/>
    </font>
    <font>
      <sz val="10"/>
      <color theme="1"/>
      <name val="Arial"/>
      <family val="2"/>
    </font>
    <font>
      <sz val="11"/>
      <name val="Calibri"/>
      <family val="2"/>
    </font>
    <font>
      <sz val="14"/>
      <color theme="0"/>
      <name val="Calibri"/>
      <family val="2"/>
      <scheme val="minor"/>
    </font>
    <font>
      <sz val="8"/>
      <name val="GHEA Grapalat"/>
      <family val="3"/>
    </font>
    <font>
      <sz val="8"/>
      <color theme="1"/>
      <name val="Gill Sans MT"/>
      <family val="2"/>
    </font>
    <font>
      <sz val="11"/>
      <color rgb="FF000080"/>
      <name val="Calibri"/>
      <family val="2"/>
    </font>
    <font>
      <sz val="11"/>
      <color theme="0"/>
      <name val="GHEA Grapalat"/>
      <family val="3"/>
    </font>
    <font>
      <i/>
      <sz val="11"/>
      <color theme="1"/>
      <name val="GHEA Grapalat"/>
      <family val="3"/>
    </font>
  </fonts>
  <fills count="5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2"/>
        <bgColor indexed="64"/>
      </patternFill>
    </fill>
    <fill>
      <patternFill patternType="solid">
        <fgColor rgb="FFF8F8F8"/>
        <bgColor indexed="64"/>
      </patternFill>
    </fill>
    <fill>
      <patternFill patternType="solid">
        <fgColor theme="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8" tint="-0.499984740745262"/>
        <bgColor indexed="64"/>
      </patternFill>
    </fill>
    <fill>
      <patternFill patternType="solid">
        <fgColor rgb="FF4669AF"/>
      </patternFill>
    </fill>
    <fill>
      <patternFill patternType="solid">
        <fgColor rgb="FF0096DC"/>
      </patternFill>
    </fill>
    <fill>
      <patternFill patternType="mediumGray">
        <bgColor indexed="22"/>
      </patternFill>
    </fill>
    <fill>
      <patternFill patternType="solid">
        <fgColor rgb="FFDCE6F1"/>
      </patternFill>
    </fill>
    <fill>
      <patternFill patternType="solid">
        <fgColor rgb="FFF6F6F6"/>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F8F8F8"/>
        <bgColor theme="4" tint="0.59999389629810485"/>
      </patternFill>
    </fill>
    <fill>
      <patternFill patternType="solid">
        <fgColor theme="1"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medium">
        <color indexed="64"/>
      </bottom>
      <diagonal/>
    </border>
    <border>
      <left style="thin">
        <color rgb="FFB0B0B0"/>
      </left>
      <right style="thin">
        <color rgb="FFB0B0B0"/>
      </right>
      <top style="thin">
        <color rgb="FFB0B0B0"/>
      </top>
      <bottom style="thin">
        <color rgb="FFB0B0B0"/>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diagonal/>
    </border>
    <border>
      <left style="thin">
        <color theme="0" tint="-0.499984740745262"/>
      </left>
      <right/>
      <top style="thin">
        <color theme="0" tint="-0.499984740745262"/>
      </top>
      <bottom style="thin">
        <color theme="0" tint="-0.499984740745262"/>
      </bottom>
      <diagonal/>
    </border>
  </borders>
  <cellStyleXfs count="77">
    <xf numFmtId="0" fontId="0" fillId="0" borderId="0"/>
    <xf numFmtId="43" fontId="1" fillId="0" borderId="0" applyFont="0" applyFill="0" applyBorder="0" applyAlignment="0" applyProtection="0"/>
    <xf numFmtId="0" fontId="2"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5" fillId="0" borderId="5" applyNumberFormat="0" applyFill="0" applyAlignment="0" applyProtection="0"/>
    <xf numFmtId="0" fontId="6" fillId="0" borderId="6" applyNumberFormat="0" applyFill="0" applyAlignment="0" applyProtection="0"/>
    <xf numFmtId="0" fontId="7" fillId="0" borderId="7"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8" applyNumberFormat="0" applyAlignment="0" applyProtection="0"/>
    <xf numFmtId="0" fontId="12" fillId="7" borderId="9" applyNumberFormat="0" applyAlignment="0" applyProtection="0"/>
    <xf numFmtId="0" fontId="13" fillId="7" borderId="8" applyNumberFormat="0" applyAlignment="0" applyProtection="0"/>
    <xf numFmtId="0" fontId="14" fillId="0" borderId="10" applyNumberFormat="0" applyFill="0" applyAlignment="0" applyProtection="0"/>
    <xf numFmtId="0" fontId="15" fillId="8" borderId="11" applyNumberFormat="0" applyAlignment="0" applyProtection="0"/>
    <xf numFmtId="0" fontId="16" fillId="0" borderId="0" applyNumberFormat="0" applyFill="0" applyBorder="0" applyAlignment="0" applyProtection="0"/>
    <xf numFmtId="0" fontId="1" fillId="9"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9" fillId="0" borderId="0"/>
    <xf numFmtId="0" fontId="20" fillId="0" borderId="0">
      <alignment horizontal="left" vertical="top" wrapText="1"/>
    </xf>
    <xf numFmtId="0" fontId="21" fillId="0" borderId="0" applyNumberFormat="0" applyFill="0" applyBorder="0" applyAlignment="0" applyProtection="0"/>
    <xf numFmtId="0" fontId="22" fillId="5" borderId="0" applyNumberFormat="0" applyBorder="0" applyAlignment="0" applyProtection="0"/>
    <xf numFmtId="0" fontId="1" fillId="0" borderId="0"/>
    <xf numFmtId="0" fontId="1" fillId="0" borderId="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1" fillId="0" borderId="0"/>
    <xf numFmtId="0" fontId="3" fillId="33" borderId="0" applyNumberFormat="0" applyBorder="0" applyAlignment="0" applyProtection="0"/>
    <xf numFmtId="166" fontId="23" fillId="0" borderId="1" applyFill="0" applyProtection="0">
      <alignment horizontal="right" vertical="top"/>
    </xf>
    <xf numFmtId="43" fontId="19" fillId="0" borderId="0" applyFont="0" applyFill="0" applyBorder="0" applyAlignment="0" applyProtection="0"/>
    <xf numFmtId="0" fontId="19" fillId="0" borderId="0"/>
    <xf numFmtId="164" fontId="28" fillId="0" borderId="0" applyFont="0" applyFill="0" applyBorder="0" applyAlignment="0" applyProtection="0"/>
    <xf numFmtId="164" fontId="19" fillId="0" borderId="0" applyFont="0" applyFill="0" applyBorder="0" applyAlignment="0" applyProtection="0"/>
    <xf numFmtId="0" fontId="28" fillId="0" borderId="0"/>
    <xf numFmtId="164" fontId="19" fillId="0" borderId="0" applyFont="0" applyFill="0" applyBorder="0" applyAlignment="0" applyProtection="0"/>
    <xf numFmtId="164" fontId="19" fillId="0" borderId="0" applyFont="0" applyFill="0" applyBorder="0" applyAlignment="0" applyProtection="0"/>
    <xf numFmtId="0" fontId="29" fillId="0" borderId="0" applyNumberFormat="0" applyFill="0" applyBorder="0" applyAlignment="0" applyProtection="0">
      <alignment vertical="top"/>
      <protection locked="0"/>
    </xf>
    <xf numFmtId="0" fontId="19" fillId="0" borderId="0"/>
    <xf numFmtId="9" fontId="1" fillId="0" borderId="0" applyFont="0" applyFill="0" applyBorder="0" applyAlignment="0" applyProtection="0"/>
    <xf numFmtId="0" fontId="33" fillId="0" borderId="0" applyNumberFormat="0" applyFill="0" applyBorder="0" applyAlignment="0" applyProtection="0"/>
    <xf numFmtId="44" fontId="1" fillId="0" borderId="0" applyFont="0" applyFill="0" applyBorder="0" applyAlignment="0" applyProtection="0"/>
    <xf numFmtId="0" fontId="51" fillId="34" borderId="0" applyNumberFormat="0" applyBorder="0" applyAlignment="0" applyProtection="0"/>
  </cellStyleXfs>
  <cellXfs count="379">
    <xf numFmtId="0" fontId="0" fillId="0" borderId="0" xfId="0"/>
    <xf numFmtId="0" fontId="26" fillId="2" borderId="0" xfId="0" applyFont="1" applyFill="1"/>
    <xf numFmtId="0" fontId="31" fillId="0" borderId="1" xfId="0" applyFont="1" applyBorder="1" applyAlignment="1">
      <alignment horizontal="center" vertical="center" wrapText="1"/>
    </xf>
    <xf numFmtId="0" fontId="25" fillId="35" borderId="3" xfId="0" applyFont="1" applyFill="1" applyBorder="1" applyAlignment="1">
      <alignment horizontal="center" vertical="center" wrapText="1"/>
    </xf>
    <xf numFmtId="0" fontId="26" fillId="2" borderId="0" xfId="0" applyFont="1" applyFill="1" applyAlignment="1">
      <alignment horizontal="center"/>
    </xf>
    <xf numFmtId="0" fontId="0" fillId="0" borderId="1" xfId="0" applyBorder="1" applyAlignment="1">
      <alignment horizontal="center" vertical="center"/>
    </xf>
    <xf numFmtId="0" fontId="0" fillId="0" borderId="1" xfId="0" applyBorder="1" applyAlignment="1">
      <alignment vertical="center"/>
    </xf>
    <xf numFmtId="165" fontId="0" fillId="0" borderId="1" xfId="1" applyNumberFormat="1" applyFont="1" applyBorder="1"/>
    <xf numFmtId="0" fontId="0" fillId="0" borderId="1" xfId="0" applyBorder="1" applyAlignment="1">
      <alignment vertical="center" wrapText="1"/>
    </xf>
    <xf numFmtId="0" fontId="15" fillId="34" borderId="1" xfId="0" applyFont="1" applyFill="1" applyBorder="1" applyAlignment="1">
      <alignment horizontal="center" vertical="center"/>
    </xf>
    <xf numFmtId="0" fontId="24" fillId="2" borderId="3" xfId="0" applyFont="1" applyFill="1" applyBorder="1" applyAlignment="1">
      <alignment horizontal="center" vertical="center" wrapText="1"/>
    </xf>
    <xf numFmtId="0" fontId="30" fillId="37" borderId="1" xfId="0" applyFont="1" applyFill="1" applyBorder="1" applyAlignment="1">
      <alignment horizontal="center" vertical="center" wrapText="1"/>
    </xf>
    <xf numFmtId="0" fontId="30" fillId="37" borderId="2" xfId="0" applyFont="1" applyFill="1" applyBorder="1" applyAlignment="1">
      <alignment horizontal="center" vertical="center" wrapText="1"/>
    </xf>
    <xf numFmtId="0" fontId="30" fillId="37" borderId="1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35" borderId="3" xfId="0" applyFont="1" applyFill="1" applyBorder="1" applyAlignment="1">
      <alignment horizontal="left" vertical="center" wrapText="1"/>
    </xf>
    <xf numFmtId="165" fontId="25" fillId="35" borderId="3" xfId="1" applyNumberFormat="1" applyFont="1" applyFill="1" applyBorder="1" applyAlignment="1">
      <alignment vertical="center" wrapText="1"/>
    </xf>
    <xf numFmtId="0" fontId="24" fillId="36" borderId="1" xfId="0" applyFont="1" applyFill="1" applyBorder="1" applyAlignment="1">
      <alignment horizontal="center" vertical="center" wrapText="1"/>
    </xf>
    <xf numFmtId="0" fontId="24" fillId="36" borderId="3" xfId="0" applyFont="1" applyFill="1" applyBorder="1" applyAlignment="1">
      <alignment horizontal="center" vertical="center" wrapText="1"/>
    </xf>
    <xf numFmtId="0" fontId="24" fillId="36" borderId="3"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38" borderId="1" xfId="0" applyFont="1" applyFill="1" applyBorder="1" applyAlignment="1">
      <alignment horizontal="center" vertical="center" wrapText="1"/>
    </xf>
    <xf numFmtId="0" fontId="34" fillId="38" borderId="1" xfId="0" applyFont="1" applyFill="1" applyBorder="1" applyAlignment="1">
      <alignment horizontal="left" vertical="center"/>
    </xf>
    <xf numFmtId="0" fontId="30" fillId="38" borderId="1" xfId="0" applyFont="1" applyFill="1" applyBorder="1" applyAlignment="1">
      <alignment horizontal="center" vertical="center" wrapText="1"/>
    </xf>
    <xf numFmtId="0" fontId="0" fillId="2" borderId="0" xfId="0" applyFill="1"/>
    <xf numFmtId="165" fontId="24" fillId="2" borderId="1" xfId="1" applyNumberFormat="1" applyFont="1" applyFill="1" applyBorder="1" applyAlignment="1">
      <alignment horizontal="center" vertical="center" wrapText="1"/>
    </xf>
    <xf numFmtId="3" fontId="0" fillId="0" borderId="1" xfId="0" applyNumberFormat="1" applyBorder="1" applyAlignment="1">
      <alignment vertical="center"/>
    </xf>
    <xf numFmtId="9" fontId="0" fillId="0" borderId="1" xfId="73" applyFont="1" applyBorder="1"/>
    <xf numFmtId="0" fontId="18" fillId="2" borderId="0" xfId="0" applyFont="1" applyFill="1"/>
    <xf numFmtId="0" fontId="0" fillId="2" borderId="17" xfId="0" applyFill="1" applyBorder="1"/>
    <xf numFmtId="0" fontId="18" fillId="2" borderId="23" xfId="0" applyFont="1" applyFill="1" applyBorder="1"/>
    <xf numFmtId="0" fontId="18" fillId="2" borderId="20" xfId="0" applyFont="1" applyFill="1" applyBorder="1"/>
    <xf numFmtId="0" fontId="18" fillId="2" borderId="22" xfId="0" applyFont="1" applyFill="1" applyBorder="1"/>
    <xf numFmtId="1" fontId="0" fillId="2" borderId="0" xfId="0" applyNumberFormat="1" applyFill="1"/>
    <xf numFmtId="1" fontId="0" fillId="2" borderId="21" xfId="0" applyNumberFormat="1" applyFill="1" applyBorder="1"/>
    <xf numFmtId="0" fontId="0" fillId="2" borderId="21" xfId="0" applyFill="1" applyBorder="1"/>
    <xf numFmtId="0" fontId="0" fillId="2" borderId="15" xfId="0" applyFill="1" applyBorder="1"/>
    <xf numFmtId="0" fontId="0" fillId="2" borderId="16" xfId="0" applyFill="1" applyBorder="1"/>
    <xf numFmtId="165" fontId="0" fillId="2" borderId="0" xfId="0" applyNumberFormat="1" applyFill="1"/>
    <xf numFmtId="3" fontId="37" fillId="0" borderId="0" xfId="0" applyNumberFormat="1" applyFont="1"/>
    <xf numFmtId="4" fontId="0" fillId="2" borderId="0" xfId="0" applyNumberFormat="1" applyFill="1"/>
    <xf numFmtId="165" fontId="0" fillId="2" borderId="0" xfId="1" applyNumberFormat="1" applyFont="1" applyFill="1"/>
    <xf numFmtId="165" fontId="0" fillId="2" borderId="0" xfId="1" applyNumberFormat="1" applyFont="1" applyFill="1" applyBorder="1"/>
    <xf numFmtId="165" fontId="0" fillId="2" borderId="21" xfId="1" applyNumberFormat="1" applyFont="1" applyFill="1" applyBorder="1"/>
    <xf numFmtId="165" fontId="0" fillId="2" borderId="21" xfId="0" applyNumberFormat="1" applyFill="1" applyBorder="1"/>
    <xf numFmtId="0" fontId="36" fillId="2" borderId="22" xfId="0" applyFont="1" applyFill="1" applyBorder="1"/>
    <xf numFmtId="0" fontId="36" fillId="2" borderId="14" xfId="0" applyFont="1" applyFill="1" applyBorder="1"/>
    <xf numFmtId="0" fontId="36" fillId="2" borderId="22" xfId="0" applyFont="1" applyFill="1" applyBorder="1" applyAlignment="1">
      <alignment horizontal="left"/>
    </xf>
    <xf numFmtId="0" fontId="36" fillId="2" borderId="14" xfId="0" applyFont="1" applyFill="1" applyBorder="1" applyAlignment="1">
      <alignment horizontal="left"/>
    </xf>
    <xf numFmtId="0" fontId="0" fillId="2" borderId="0" xfId="0" applyFill="1" applyAlignment="1">
      <alignment horizontal="left"/>
    </xf>
    <xf numFmtId="0" fontId="18" fillId="2" borderId="22" xfId="0" applyFont="1" applyFill="1" applyBorder="1" applyAlignment="1">
      <alignment horizontal="left"/>
    </xf>
    <xf numFmtId="0" fontId="0" fillId="2" borderId="17" xfId="0" applyFill="1" applyBorder="1" applyAlignment="1">
      <alignment horizontal="center"/>
    </xf>
    <xf numFmtId="0" fontId="0" fillId="2" borderId="20" xfId="0" applyFill="1" applyBorder="1"/>
    <xf numFmtId="0" fontId="0" fillId="2" borderId="22" xfId="0" applyFill="1" applyBorder="1" applyAlignment="1">
      <alignment horizontal="center"/>
    </xf>
    <xf numFmtId="168" fontId="36" fillId="2" borderId="21" xfId="0" applyNumberFormat="1" applyFont="1" applyFill="1" applyBorder="1"/>
    <xf numFmtId="168" fontId="36" fillId="2" borderId="0" xfId="0" applyNumberFormat="1" applyFont="1" applyFill="1"/>
    <xf numFmtId="3" fontId="18" fillId="2" borderId="22" xfId="0" applyNumberFormat="1" applyFont="1" applyFill="1" applyBorder="1"/>
    <xf numFmtId="3" fontId="18" fillId="2" borderId="0" xfId="0" applyNumberFormat="1" applyFont="1" applyFill="1"/>
    <xf numFmtId="3" fontId="18" fillId="2" borderId="21" xfId="0" applyNumberFormat="1" applyFont="1" applyFill="1" applyBorder="1"/>
    <xf numFmtId="0" fontId="36" fillId="2" borderId="21" xfId="0" applyFont="1" applyFill="1" applyBorder="1"/>
    <xf numFmtId="0" fontId="36" fillId="2" borderId="0" xfId="0" applyFont="1" applyFill="1"/>
    <xf numFmtId="3" fontId="0" fillId="2" borderId="22" xfId="1" applyNumberFormat="1" applyFont="1" applyFill="1" applyBorder="1"/>
    <xf numFmtId="0" fontId="0" fillId="2" borderId="14" xfId="0" applyFill="1" applyBorder="1" applyAlignment="1">
      <alignment horizontal="center"/>
    </xf>
    <xf numFmtId="0" fontId="0" fillId="2" borderId="23" xfId="0" applyFill="1" applyBorder="1"/>
    <xf numFmtId="0" fontId="18" fillId="2" borderId="21" xfId="0" applyFont="1" applyFill="1" applyBorder="1"/>
    <xf numFmtId="1" fontId="0" fillId="2" borderId="22" xfId="0" applyNumberFormat="1" applyFill="1" applyBorder="1"/>
    <xf numFmtId="0" fontId="0" fillId="2" borderId="22" xfId="0" applyFill="1" applyBorder="1"/>
    <xf numFmtId="165" fontId="0" fillId="2" borderId="22" xfId="1" applyNumberFormat="1" applyFont="1" applyFill="1" applyBorder="1"/>
    <xf numFmtId="165" fontId="18" fillId="2" borderId="14" xfId="0" applyNumberFormat="1" applyFont="1" applyFill="1" applyBorder="1"/>
    <xf numFmtId="165" fontId="18" fillId="2" borderId="15" xfId="0" applyNumberFormat="1" applyFont="1" applyFill="1" applyBorder="1"/>
    <xf numFmtId="165" fontId="18" fillId="2" borderId="16" xfId="0" applyNumberFormat="1" applyFont="1" applyFill="1" applyBorder="1"/>
    <xf numFmtId="165" fontId="0" fillId="2" borderId="17" xfId="1" applyNumberFormat="1" applyFont="1" applyFill="1" applyBorder="1"/>
    <xf numFmtId="165" fontId="0" fillId="2" borderId="23" xfId="1" applyNumberFormat="1" applyFont="1" applyFill="1" applyBorder="1"/>
    <xf numFmtId="165" fontId="18" fillId="2" borderId="22" xfId="1" applyNumberFormat="1" applyFont="1" applyFill="1" applyBorder="1"/>
    <xf numFmtId="165" fontId="18" fillId="2" borderId="0" xfId="1" applyNumberFormat="1" applyFont="1" applyFill="1" applyBorder="1"/>
    <xf numFmtId="3" fontId="0" fillId="2" borderId="22" xfId="0" applyNumberFormat="1" applyFill="1" applyBorder="1"/>
    <xf numFmtId="3" fontId="0" fillId="2" borderId="14" xfId="1" applyNumberFormat="1" applyFont="1" applyFill="1" applyBorder="1"/>
    <xf numFmtId="1" fontId="0" fillId="2" borderId="15" xfId="0" applyNumberFormat="1" applyFill="1" applyBorder="1"/>
    <xf numFmtId="1" fontId="0" fillId="2" borderId="16" xfId="0" applyNumberFormat="1" applyFill="1" applyBorder="1"/>
    <xf numFmtId="165" fontId="18" fillId="2" borderId="22" xfId="0" applyNumberFormat="1" applyFont="1" applyFill="1" applyBorder="1"/>
    <xf numFmtId="165" fontId="18" fillId="2" borderId="0" xfId="0" applyNumberFormat="1" applyFont="1" applyFill="1"/>
    <xf numFmtId="165" fontId="18" fillId="2" borderId="21" xfId="0" applyNumberFormat="1" applyFont="1" applyFill="1" applyBorder="1"/>
    <xf numFmtId="165" fontId="0" fillId="2" borderId="14" xfId="0" applyNumberFormat="1" applyFill="1" applyBorder="1"/>
    <xf numFmtId="165" fontId="0" fillId="2" borderId="15" xfId="0" applyNumberFormat="1" applyFill="1" applyBorder="1"/>
    <xf numFmtId="165" fontId="0" fillId="2" borderId="16" xfId="0" applyNumberFormat="1" applyFill="1" applyBorder="1"/>
    <xf numFmtId="0" fontId="0" fillId="2" borderId="0" xfId="0" applyFill="1" applyAlignment="1">
      <alignment horizontal="center"/>
    </xf>
    <xf numFmtId="165" fontId="0" fillId="2" borderId="0" xfId="1" applyNumberFormat="1" applyFont="1" applyFill="1" applyAlignment="1">
      <alignment horizontal="center"/>
    </xf>
    <xf numFmtId="0" fontId="40" fillId="2" borderId="0" xfId="0" applyFont="1" applyFill="1"/>
    <xf numFmtId="0" fontId="39" fillId="2" borderId="17" xfId="0" applyFont="1" applyFill="1" applyBorder="1"/>
    <xf numFmtId="0" fontId="39" fillId="2" borderId="23" xfId="0" applyFont="1" applyFill="1" applyBorder="1"/>
    <xf numFmtId="0" fontId="39" fillId="2" borderId="20" xfId="0" applyFont="1" applyFill="1" applyBorder="1"/>
    <xf numFmtId="3" fontId="0" fillId="2" borderId="0" xfId="0" applyNumberFormat="1" applyFill="1"/>
    <xf numFmtId="165" fontId="0" fillId="39" borderId="21" xfId="0" applyNumberFormat="1" applyFill="1" applyBorder="1"/>
    <xf numFmtId="0" fontId="42" fillId="2" borderId="22" xfId="0" applyFont="1" applyFill="1" applyBorder="1" applyAlignment="1">
      <alignment horizontal="left"/>
    </xf>
    <xf numFmtId="10" fontId="0" fillId="0" borderId="1" xfId="73" applyNumberFormat="1" applyFont="1" applyBorder="1"/>
    <xf numFmtId="0" fontId="0" fillId="2" borderId="22" xfId="0" applyFill="1" applyBorder="1" applyAlignment="1">
      <alignment horizontal="right"/>
    </xf>
    <xf numFmtId="0" fontId="39" fillId="2" borderId="0" xfId="0" applyFont="1" applyFill="1"/>
    <xf numFmtId="1" fontId="0" fillId="2" borderId="20" xfId="0" applyNumberFormat="1" applyFill="1" applyBorder="1"/>
    <xf numFmtId="0" fontId="18" fillId="2" borderId="17" xfId="0" applyFont="1" applyFill="1" applyBorder="1"/>
    <xf numFmtId="1" fontId="0" fillId="2" borderId="0" xfId="0" applyNumberFormat="1" applyFill="1" applyAlignment="1">
      <alignment horizontal="right"/>
    </xf>
    <xf numFmtId="165" fontId="0" fillId="2" borderId="0" xfId="1" applyNumberFormat="1" applyFont="1" applyFill="1" applyBorder="1" applyAlignment="1">
      <alignment horizontal="right"/>
    </xf>
    <xf numFmtId="169" fontId="0" fillId="39" borderId="21" xfId="0" applyNumberFormat="1" applyFill="1" applyBorder="1"/>
    <xf numFmtId="165" fontId="36" fillId="2" borderId="21" xfId="0" applyNumberFormat="1" applyFont="1" applyFill="1" applyBorder="1"/>
    <xf numFmtId="0" fontId="39" fillId="2" borderId="17" xfId="0" applyFont="1" applyFill="1" applyBorder="1" applyAlignment="1">
      <alignment horizontal="center"/>
    </xf>
    <xf numFmtId="0" fontId="39" fillId="2" borderId="23" xfId="0" applyFont="1" applyFill="1" applyBorder="1" applyAlignment="1">
      <alignment horizontal="center"/>
    </xf>
    <xf numFmtId="0" fontId="39" fillId="2" borderId="20" xfId="0" applyFont="1" applyFill="1" applyBorder="1" applyAlignment="1">
      <alignment horizontal="center"/>
    </xf>
    <xf numFmtId="0" fontId="0" fillId="2" borderId="14" xfId="0" applyFill="1" applyBorder="1"/>
    <xf numFmtId="165" fontId="0" fillId="0" borderId="1" xfId="1" applyNumberFormat="1" applyFont="1" applyFill="1" applyBorder="1"/>
    <xf numFmtId="165" fontId="0" fillId="2" borderId="15" xfId="1" applyNumberFormat="1" applyFont="1" applyFill="1" applyBorder="1"/>
    <xf numFmtId="165" fontId="0" fillId="2" borderId="16" xfId="1" applyNumberFormat="1" applyFont="1" applyFill="1" applyBorder="1"/>
    <xf numFmtId="0" fontId="0" fillId="2" borderId="0" xfId="0" applyFill="1" applyAlignment="1">
      <alignment horizontal="right"/>
    </xf>
    <xf numFmtId="165" fontId="0" fillId="2" borderId="21" xfId="1" applyNumberFormat="1" applyFont="1" applyFill="1" applyBorder="1" applyAlignment="1">
      <alignment horizontal="right"/>
    </xf>
    <xf numFmtId="165" fontId="18" fillId="2" borderId="0" xfId="1" applyNumberFormat="1" applyFont="1" applyFill="1" applyBorder="1" applyAlignment="1">
      <alignment horizontal="right"/>
    </xf>
    <xf numFmtId="165" fontId="18" fillId="2" borderId="21" xfId="1" applyNumberFormat="1" applyFont="1" applyFill="1" applyBorder="1" applyAlignment="1">
      <alignment horizontal="right"/>
    </xf>
    <xf numFmtId="0" fontId="0" fillId="2" borderId="22" xfId="0" applyFill="1" applyBorder="1" applyAlignment="1">
      <alignment horizontal="left"/>
    </xf>
    <xf numFmtId="165" fontId="0" fillId="2" borderId="15" xfId="1" applyNumberFormat="1" applyFont="1" applyFill="1" applyBorder="1" applyAlignment="1">
      <alignment horizontal="right"/>
    </xf>
    <xf numFmtId="165" fontId="0" fillId="2" borderId="16" xfId="1" applyNumberFormat="1" applyFont="1" applyFill="1" applyBorder="1" applyAlignment="1">
      <alignment horizontal="right"/>
    </xf>
    <xf numFmtId="165" fontId="0" fillId="2" borderId="22" xfId="1" applyNumberFormat="1" applyFont="1" applyFill="1" applyBorder="1" applyAlignment="1">
      <alignment horizontal="right"/>
    </xf>
    <xf numFmtId="165" fontId="18" fillId="2" borderId="22" xfId="1" applyNumberFormat="1" applyFont="1" applyFill="1" applyBorder="1" applyAlignment="1">
      <alignment horizontal="right"/>
    </xf>
    <xf numFmtId="165" fontId="0" fillId="2" borderId="14" xfId="1" applyNumberFormat="1" applyFont="1" applyFill="1" applyBorder="1" applyAlignment="1">
      <alignment horizontal="right"/>
    </xf>
    <xf numFmtId="1" fontId="18" fillId="2" borderId="22" xfId="0" applyNumberFormat="1" applyFont="1" applyFill="1" applyBorder="1" applyAlignment="1">
      <alignment horizontal="right"/>
    </xf>
    <xf numFmtId="1" fontId="18" fillId="2" borderId="0" xfId="0" applyNumberFormat="1" applyFont="1" applyFill="1" applyAlignment="1">
      <alignment horizontal="right"/>
    </xf>
    <xf numFmtId="0" fontId="0" fillId="2" borderId="0" xfId="0" applyFill="1" applyAlignment="1">
      <alignment vertical="top" wrapText="1"/>
    </xf>
    <xf numFmtId="165" fontId="0" fillId="2" borderId="0" xfId="0" applyNumberFormat="1" applyFill="1" applyAlignment="1">
      <alignment vertical="top" wrapText="1"/>
    </xf>
    <xf numFmtId="165" fontId="0" fillId="2" borderId="0" xfId="1" applyNumberFormat="1" applyFont="1" applyFill="1" applyAlignment="1">
      <alignment vertical="top" wrapText="1"/>
    </xf>
    <xf numFmtId="43" fontId="0" fillId="2" borderId="0" xfId="0" applyNumberFormat="1" applyFill="1"/>
    <xf numFmtId="0" fontId="18" fillId="2" borderId="14" xfId="0" applyFont="1" applyFill="1" applyBorder="1"/>
    <xf numFmtId="9" fontId="0" fillId="0" borderId="1" xfId="73" applyFont="1" applyFill="1" applyBorder="1"/>
    <xf numFmtId="0" fontId="16" fillId="2" borderId="0" xfId="0" applyFont="1" applyFill="1"/>
    <xf numFmtId="9" fontId="0" fillId="2" borderId="1" xfId="73" applyFont="1" applyFill="1" applyBorder="1"/>
    <xf numFmtId="165" fontId="0" fillId="2" borderId="1" xfId="1" applyNumberFormat="1" applyFont="1" applyFill="1" applyBorder="1"/>
    <xf numFmtId="0" fontId="41" fillId="2" borderId="21" xfId="0" applyFont="1" applyFill="1" applyBorder="1"/>
    <xf numFmtId="165" fontId="0" fillId="0" borderId="0" xfId="1" applyNumberFormat="1" applyFont="1" applyFill="1" applyBorder="1"/>
    <xf numFmtId="0" fontId="25" fillId="2" borderId="1" xfId="0" applyFont="1" applyFill="1" applyBorder="1" applyAlignment="1">
      <alignment horizontal="center" vertical="center" wrapText="1"/>
    </xf>
    <xf numFmtId="165" fontId="24" fillId="2" borderId="1" xfId="1" applyNumberFormat="1" applyFont="1" applyFill="1" applyBorder="1" applyAlignment="1">
      <alignment horizontal="left" vertical="center" wrapText="1"/>
    </xf>
    <xf numFmtId="0" fontId="43" fillId="2" borderId="0" xfId="0" applyFont="1" applyFill="1"/>
    <xf numFmtId="0" fontId="43" fillId="2" borderId="1" xfId="0" applyFont="1" applyFill="1" applyBorder="1"/>
    <xf numFmtId="165" fontId="0" fillId="39" borderId="0" xfId="0" applyNumberFormat="1" applyFill="1"/>
    <xf numFmtId="169" fontId="0" fillId="39" borderId="0" xfId="0" applyNumberFormat="1" applyFill="1"/>
    <xf numFmtId="169" fontId="0" fillId="39" borderId="15" xfId="0" applyNumberFormat="1" applyFill="1" applyBorder="1"/>
    <xf numFmtId="169" fontId="0" fillId="39" borderId="16" xfId="0" applyNumberFormat="1" applyFill="1" applyBorder="1"/>
    <xf numFmtId="0" fontId="30" fillId="37" borderId="16" xfId="0" applyFont="1" applyFill="1" applyBorder="1" applyAlignment="1">
      <alignment vertical="center" wrapText="1"/>
    </xf>
    <xf numFmtId="0" fontId="30" fillId="37" borderId="15" xfId="0" applyFont="1" applyFill="1" applyBorder="1" applyAlignment="1">
      <alignment vertical="center" wrapText="1"/>
    </xf>
    <xf numFmtId="0" fontId="24" fillId="38" borderId="3" xfId="0" applyFont="1" applyFill="1" applyBorder="1" applyAlignment="1">
      <alignment horizontal="center" vertical="center" wrapText="1"/>
    </xf>
    <xf numFmtId="170" fontId="0" fillId="0" borderId="1" xfId="1" applyNumberFormat="1" applyFont="1" applyFill="1" applyBorder="1"/>
    <xf numFmtId="9" fontId="24" fillId="2" borderId="3" xfId="73" applyFont="1" applyFill="1" applyBorder="1" applyAlignment="1">
      <alignment horizontal="right" vertical="center" wrapText="1"/>
    </xf>
    <xf numFmtId="165" fontId="24" fillId="2" borderId="3" xfId="1" applyNumberFormat="1" applyFont="1" applyFill="1" applyBorder="1" applyAlignment="1">
      <alignment horizontal="right" vertical="center" wrapText="1"/>
    </xf>
    <xf numFmtId="0" fontId="34" fillId="38" borderId="3" xfId="0" applyFont="1" applyFill="1" applyBorder="1" applyAlignment="1">
      <alignment vertical="center"/>
    </xf>
    <xf numFmtId="0" fontId="24" fillId="38" borderId="3" xfId="0" applyFont="1" applyFill="1" applyBorder="1" applyAlignment="1">
      <alignment vertical="center" wrapText="1"/>
    </xf>
    <xf numFmtId="0" fontId="24" fillId="2" borderId="3" xfId="0" applyFont="1" applyFill="1" applyBorder="1" applyAlignment="1">
      <alignment horizontal="right" vertical="center" wrapText="1"/>
    </xf>
    <xf numFmtId="0" fontId="24" fillId="2" borderId="1" xfId="0" applyFont="1" applyFill="1" applyBorder="1" applyAlignment="1">
      <alignment horizontal="right" vertical="center" wrapText="1"/>
    </xf>
    <xf numFmtId="9" fontId="24" fillId="2" borderId="1" xfId="73" applyFont="1" applyFill="1" applyBorder="1" applyAlignment="1">
      <alignment horizontal="right" vertical="center" wrapText="1"/>
    </xf>
    <xf numFmtId="9" fontId="24" fillId="2" borderId="1" xfId="0" applyNumberFormat="1" applyFont="1" applyFill="1" applyBorder="1" applyAlignment="1">
      <alignment horizontal="right" vertical="center" wrapText="1"/>
    </xf>
    <xf numFmtId="1" fontId="24" fillId="2" borderId="1" xfId="0" applyNumberFormat="1" applyFont="1" applyFill="1" applyBorder="1" applyAlignment="1">
      <alignment horizontal="right" vertical="center" wrapText="1"/>
    </xf>
    <xf numFmtId="165" fontId="24" fillId="2" borderId="1" xfId="1" applyNumberFormat="1" applyFont="1" applyFill="1" applyBorder="1" applyAlignment="1">
      <alignment horizontal="right" vertical="center" wrapText="1"/>
    </xf>
    <xf numFmtId="0" fontId="34" fillId="38" borderId="1" xfId="0" applyFont="1" applyFill="1" applyBorder="1" applyAlignment="1">
      <alignment horizontal="center" vertical="center"/>
    </xf>
    <xf numFmtId="169" fontId="24" fillId="2" borderId="1" xfId="0" applyNumberFormat="1" applyFont="1" applyFill="1" applyBorder="1" applyAlignment="1">
      <alignment horizontal="left" vertical="center" wrapText="1"/>
    </xf>
    <xf numFmtId="0" fontId="43" fillId="2" borderId="1" xfId="0" applyFont="1" applyFill="1" applyBorder="1" applyAlignment="1">
      <alignment wrapText="1"/>
    </xf>
    <xf numFmtId="0" fontId="43" fillId="2" borderId="1" xfId="0" applyFont="1" applyFill="1" applyBorder="1" applyAlignment="1">
      <alignment horizontal="left" vertical="center"/>
    </xf>
    <xf numFmtId="43" fontId="0" fillId="2" borderId="0" xfId="1" applyFont="1" applyFill="1"/>
    <xf numFmtId="165" fontId="0" fillId="0" borderId="0" xfId="0" applyNumberFormat="1"/>
    <xf numFmtId="0" fontId="24" fillId="2" borderId="1" xfId="0" applyFont="1" applyFill="1" applyBorder="1" applyAlignment="1">
      <alignment vertical="center" wrapText="1"/>
    </xf>
    <xf numFmtId="1" fontId="24" fillId="2" borderId="1" xfId="0" applyNumberFormat="1" applyFont="1" applyFill="1" applyBorder="1" applyAlignment="1">
      <alignment horizontal="center" vertical="center" wrapText="1"/>
    </xf>
    <xf numFmtId="165" fontId="24" fillId="2" borderId="1" xfId="0" applyNumberFormat="1" applyFont="1" applyFill="1" applyBorder="1" applyAlignment="1">
      <alignment horizontal="right" vertical="center" wrapText="1"/>
    </xf>
    <xf numFmtId="0" fontId="18" fillId="2" borderId="0" xfId="0" applyFont="1" applyFill="1" applyAlignment="1">
      <alignment vertical="top" wrapText="1"/>
    </xf>
    <xf numFmtId="0" fontId="24" fillId="36" borderId="1" xfId="0" applyFont="1" applyFill="1" applyBorder="1" applyAlignment="1">
      <alignment horizontal="left" vertical="center" wrapText="1"/>
    </xf>
    <xf numFmtId="0" fontId="0" fillId="0" borderId="24" xfId="0" applyBorder="1"/>
    <xf numFmtId="0" fontId="0" fillId="0" borderId="24" xfId="0" applyBorder="1" applyAlignment="1">
      <alignment wrapText="1"/>
    </xf>
    <xf numFmtId="0" fontId="43" fillId="0" borderId="24" xfId="0" applyFont="1" applyBorder="1" applyAlignment="1">
      <alignment vertical="top" wrapText="1"/>
    </xf>
    <xf numFmtId="0" fontId="43" fillId="0" borderId="24" xfId="0" applyFont="1" applyBorder="1" applyAlignment="1">
      <alignment horizontal="right" wrapText="1"/>
    </xf>
    <xf numFmtId="165" fontId="0" fillId="0" borderId="24" xfId="1" applyNumberFormat="1" applyFont="1" applyBorder="1"/>
    <xf numFmtId="165" fontId="0" fillId="35" borderId="24" xfId="1" applyNumberFormat="1" applyFont="1" applyFill="1" applyBorder="1"/>
    <xf numFmtId="0" fontId="44" fillId="0" borderId="0" xfId="74" applyFont="1" applyAlignment="1">
      <alignment vertical="center"/>
    </xf>
    <xf numFmtId="0" fontId="43" fillId="0" borderId="24" xfId="0" applyFont="1" applyBorder="1" applyAlignment="1">
      <alignment vertical="top"/>
    </xf>
    <xf numFmtId="0" fontId="43" fillId="0" borderId="24" xfId="0" applyFont="1" applyBorder="1" applyAlignment="1">
      <alignment horizontal="right"/>
    </xf>
    <xf numFmtId="171" fontId="0" fillId="0" borderId="24" xfId="0" applyNumberFormat="1" applyBorder="1"/>
    <xf numFmtId="171" fontId="0" fillId="35" borderId="24" xfId="0" applyNumberFormat="1" applyFill="1" applyBorder="1"/>
    <xf numFmtId="0" fontId="33" fillId="0" borderId="0" xfId="74" applyAlignment="1">
      <alignment vertical="center"/>
    </xf>
    <xf numFmtId="170" fontId="0" fillId="0" borderId="24" xfId="0" applyNumberFormat="1" applyBorder="1"/>
    <xf numFmtId="170" fontId="0" fillId="35" borderId="24" xfId="1" applyNumberFormat="1" applyFont="1" applyFill="1" applyBorder="1"/>
    <xf numFmtId="170" fontId="0" fillId="0" borderId="24" xfId="1" applyNumberFormat="1" applyFont="1" applyBorder="1" applyAlignment="1">
      <alignment horizontal="right"/>
    </xf>
    <xf numFmtId="170" fontId="0" fillId="0" borderId="24" xfId="1" applyNumberFormat="1" applyFont="1" applyBorder="1"/>
    <xf numFmtId="0" fontId="0" fillId="0" borderId="25" xfId="0" applyBorder="1"/>
    <xf numFmtId="171" fontId="0" fillId="0" borderId="24" xfId="0" applyNumberFormat="1" applyBorder="1" applyAlignment="1">
      <alignment horizontal="right"/>
    </xf>
    <xf numFmtId="170" fontId="41" fillId="35" borderId="24" xfId="1" applyNumberFormat="1" applyFont="1" applyFill="1" applyBorder="1"/>
    <xf numFmtId="1" fontId="0" fillId="35" borderId="24" xfId="0" applyNumberFormat="1" applyFill="1" applyBorder="1"/>
    <xf numFmtId="0" fontId="0" fillId="35" borderId="24" xfId="0" applyFill="1" applyBorder="1"/>
    <xf numFmtId="0" fontId="0" fillId="0" borderId="24" xfId="0" applyBorder="1" applyAlignment="1">
      <alignment horizontal="right"/>
    </xf>
    <xf numFmtId="0" fontId="0" fillId="0" borderId="1" xfId="0" applyBorder="1" applyAlignment="1">
      <alignment horizontal="right"/>
    </xf>
    <xf numFmtId="171" fontId="0" fillId="0" borderId="1" xfId="0" applyNumberFormat="1" applyBorder="1"/>
    <xf numFmtId="171" fontId="0" fillId="35" borderId="1" xfId="0" applyNumberFormat="1" applyFill="1" applyBorder="1"/>
    <xf numFmtId="4" fontId="0" fillId="0" borderId="24" xfId="0" applyNumberFormat="1" applyBorder="1"/>
    <xf numFmtId="2" fontId="0" fillId="35" borderId="24" xfId="0" applyNumberFormat="1" applyFill="1" applyBorder="1"/>
    <xf numFmtId="0" fontId="0" fillId="0" borderId="24" xfId="0" applyBorder="1" applyAlignment="1">
      <alignment horizontal="right" wrapText="1"/>
    </xf>
    <xf numFmtId="2" fontId="0" fillId="0" borderId="24" xfId="0" applyNumberFormat="1" applyBorder="1"/>
    <xf numFmtId="0" fontId="15" fillId="40" borderId="26" xfId="0" applyFont="1" applyFill="1" applyBorder="1" applyAlignment="1">
      <alignment horizontal="center"/>
    </xf>
    <xf numFmtId="0" fontId="0" fillId="0" borderId="26" xfId="0" applyBorder="1"/>
    <xf numFmtId="0" fontId="0" fillId="0" borderId="0" xfId="0" applyAlignment="1">
      <alignment wrapText="1"/>
    </xf>
    <xf numFmtId="9" fontId="0" fillId="0" borderId="0" xfId="73" applyFont="1"/>
    <xf numFmtId="0" fontId="0" fillId="0" borderId="24" xfId="0" applyBorder="1" applyAlignment="1">
      <alignment vertical="top" wrapText="1"/>
    </xf>
    <xf numFmtId="165" fontId="0" fillId="0" borderId="0" xfId="1" applyNumberFormat="1" applyFont="1"/>
    <xf numFmtId="171" fontId="0" fillId="0" borderId="0" xfId="0" applyNumberFormat="1"/>
    <xf numFmtId="0" fontId="45" fillId="0" borderId="0" xfId="0" applyFont="1" applyAlignment="1">
      <alignment horizontal="left" vertical="center"/>
    </xf>
    <xf numFmtId="0" fontId="46" fillId="0" borderId="0" xfId="0" applyFont="1" applyAlignment="1">
      <alignment horizontal="left" vertical="center"/>
    </xf>
    <xf numFmtId="0" fontId="47" fillId="41" borderId="27" xfId="0" applyFont="1" applyFill="1" applyBorder="1" applyAlignment="1">
      <alignment horizontal="right" vertical="center"/>
    </xf>
    <xf numFmtId="0" fontId="46" fillId="42" borderId="27" xfId="0" applyFont="1" applyFill="1" applyBorder="1" applyAlignment="1">
      <alignment horizontal="left" vertical="center"/>
    </xf>
    <xf numFmtId="0" fontId="0" fillId="43" borderId="0" xfId="0" applyFill="1"/>
    <xf numFmtId="0" fontId="46" fillId="44" borderId="27" xfId="0" applyFont="1" applyFill="1" applyBorder="1" applyAlignment="1">
      <alignment horizontal="left" vertical="center"/>
    </xf>
    <xf numFmtId="3" fontId="45" fillId="45" borderId="0" xfId="0" applyNumberFormat="1" applyFont="1" applyFill="1" applyAlignment="1">
      <alignment horizontal="right" vertical="center" shrinkToFit="1"/>
    </xf>
    <xf numFmtId="3" fontId="45" fillId="0" borderId="0" xfId="0" applyNumberFormat="1" applyFont="1" applyAlignment="1">
      <alignment horizontal="right" vertical="center" shrinkToFit="1"/>
    </xf>
    <xf numFmtId="172" fontId="45" fillId="0" borderId="0" xfId="0" applyNumberFormat="1" applyFont="1" applyAlignment="1">
      <alignment horizontal="right" vertical="center" shrinkToFit="1"/>
    </xf>
    <xf numFmtId="172" fontId="45" fillId="45" borderId="0" xfId="0" applyNumberFormat="1" applyFont="1" applyFill="1" applyAlignment="1">
      <alignment horizontal="right" vertical="center" shrinkToFit="1"/>
    </xf>
    <xf numFmtId="4" fontId="45" fillId="0" borderId="0" xfId="0" applyNumberFormat="1" applyFont="1" applyAlignment="1">
      <alignment horizontal="right" vertical="center" shrinkToFit="1"/>
    </xf>
    <xf numFmtId="4" fontId="45" fillId="45" borderId="0" xfId="0" applyNumberFormat="1" applyFont="1" applyFill="1" applyAlignment="1">
      <alignment horizontal="right" vertical="center" shrinkToFit="1"/>
    </xf>
    <xf numFmtId="0" fontId="48" fillId="0" borderId="0" xfId="0" applyFont="1" applyAlignment="1">
      <alignment horizontal="right"/>
    </xf>
    <xf numFmtId="171" fontId="48" fillId="0" borderId="24" xfId="0" applyNumberFormat="1" applyFont="1" applyBorder="1"/>
    <xf numFmtId="171" fontId="48" fillId="0" borderId="0" xfId="0" applyNumberFormat="1" applyFont="1"/>
    <xf numFmtId="0" fontId="0" fillId="0" borderId="0" xfId="0" applyAlignment="1">
      <alignment horizontal="right"/>
    </xf>
    <xf numFmtId="171" fontId="0" fillId="35" borderId="0" xfId="0" applyNumberFormat="1" applyFill="1"/>
    <xf numFmtId="170" fontId="0" fillId="0" borderId="24" xfId="1" applyNumberFormat="1" applyFont="1" applyFill="1" applyBorder="1"/>
    <xf numFmtId="43" fontId="0" fillId="0" borderId="24" xfId="1" applyFont="1" applyBorder="1"/>
    <xf numFmtId="173" fontId="0" fillId="46" borderId="28" xfId="1" applyNumberFormat="1" applyFont="1" applyFill="1" applyBorder="1" applyAlignment="1">
      <alignment wrapText="1"/>
    </xf>
    <xf numFmtId="173" fontId="0" fillId="46" borderId="28" xfId="1" applyNumberFormat="1" applyFont="1" applyFill="1" applyBorder="1" applyAlignment="1">
      <alignment horizontal="right" wrapText="1"/>
    </xf>
    <xf numFmtId="173" fontId="0" fillId="46" borderId="25" xfId="1" applyNumberFormat="1" applyFont="1" applyFill="1" applyBorder="1" applyAlignment="1">
      <alignment wrapText="1"/>
    </xf>
    <xf numFmtId="173" fontId="0" fillId="46" borderId="29" xfId="1" applyNumberFormat="1" applyFont="1" applyFill="1" applyBorder="1" applyAlignment="1">
      <alignment wrapText="1"/>
    </xf>
    <xf numFmtId="173" fontId="0" fillId="46" borderId="29" xfId="1" applyNumberFormat="1" applyFont="1" applyFill="1" applyBorder="1" applyAlignment="1">
      <alignment horizontal="right" wrapText="1"/>
    </xf>
    <xf numFmtId="173" fontId="0" fillId="46" borderId="30" xfId="1" applyNumberFormat="1" applyFont="1" applyFill="1" applyBorder="1" applyAlignment="1">
      <alignment wrapText="1"/>
    </xf>
    <xf numFmtId="0" fontId="0" fillId="0" borderId="25" xfId="0" applyBorder="1" applyAlignment="1">
      <alignment horizontal="left" wrapText="1"/>
    </xf>
    <xf numFmtId="0" fontId="0" fillId="0" borderId="25" xfId="0" applyBorder="1" applyAlignment="1">
      <alignment horizontal="right" wrapText="1"/>
    </xf>
    <xf numFmtId="173" fontId="0" fillId="0" borderId="25" xfId="0" applyNumberFormat="1" applyBorder="1" applyAlignment="1">
      <alignment wrapText="1"/>
    </xf>
    <xf numFmtId="0" fontId="0" fillId="0" borderId="30" xfId="0" applyBorder="1" applyAlignment="1">
      <alignment horizontal="left" wrapText="1"/>
    </xf>
    <xf numFmtId="0" fontId="0" fillId="0" borderId="30" xfId="0" applyBorder="1" applyAlignment="1">
      <alignment horizontal="right" wrapText="1"/>
    </xf>
    <xf numFmtId="173" fontId="0" fillId="0" borderId="30" xfId="0" applyNumberFormat="1" applyBorder="1" applyAlignment="1">
      <alignment wrapText="1"/>
    </xf>
    <xf numFmtId="0" fontId="0" fillId="0" borderId="25" xfId="0" applyBorder="1" applyAlignment="1">
      <alignment wrapText="1"/>
    </xf>
    <xf numFmtId="0" fontId="0" fillId="0" borderId="30" xfId="0" applyBorder="1" applyAlignment="1">
      <alignment wrapText="1"/>
    </xf>
    <xf numFmtId="0" fontId="0" fillId="46" borderId="24" xfId="0" applyFill="1" applyBorder="1" applyAlignment="1">
      <alignment wrapText="1"/>
    </xf>
    <xf numFmtId="0" fontId="0" fillId="46" borderId="24" xfId="0" applyFill="1" applyBorder="1" applyAlignment="1">
      <alignment horizontal="right" wrapText="1"/>
    </xf>
    <xf numFmtId="171" fontId="0" fillId="46" borderId="24" xfId="0" applyNumberFormat="1" applyFill="1" applyBorder="1" applyAlignment="1">
      <alignment wrapText="1"/>
    </xf>
    <xf numFmtId="2" fontId="48" fillId="0" borderId="24" xfId="0" applyNumberFormat="1" applyFont="1" applyBorder="1"/>
    <xf numFmtId="0" fontId="0" fillId="0" borderId="24" xfId="0" applyBorder="1" applyAlignment="1">
      <alignment horizontal="left" indent="3"/>
    </xf>
    <xf numFmtId="170" fontId="0" fillId="0" borderId="0" xfId="1" applyNumberFormat="1" applyFont="1"/>
    <xf numFmtId="0" fontId="0" fillId="0" borderId="1" xfId="0" applyBorder="1"/>
    <xf numFmtId="170" fontId="0" fillId="0" borderId="1" xfId="0" applyNumberFormat="1" applyBorder="1"/>
    <xf numFmtId="170" fontId="0" fillId="35" borderId="1" xfId="1" applyNumberFormat="1" applyFont="1" applyFill="1" applyBorder="1"/>
    <xf numFmtId="174" fontId="48" fillId="0" borderId="24" xfId="0" applyNumberFormat="1" applyFont="1" applyBorder="1"/>
    <xf numFmtId="0" fontId="0" fillId="0" borderId="1" xfId="0" applyBorder="1" applyAlignment="1">
      <alignment wrapText="1"/>
    </xf>
    <xf numFmtId="0" fontId="0" fillId="0" borderId="1" xfId="0" applyBorder="1" applyAlignment="1">
      <alignment horizontal="right" wrapText="1"/>
    </xf>
    <xf numFmtId="170" fontId="0" fillId="0" borderId="1" xfId="1" applyNumberFormat="1" applyFont="1" applyBorder="1"/>
    <xf numFmtId="170" fontId="0" fillId="0" borderId="1" xfId="1" applyNumberFormat="1" applyFont="1" applyBorder="1" applyAlignment="1">
      <alignment horizontal="right"/>
    </xf>
    <xf numFmtId="0" fontId="0" fillId="35" borderId="1" xfId="0" applyFill="1" applyBorder="1"/>
    <xf numFmtId="0" fontId="0" fillId="0" borderId="24" xfId="0" applyBorder="1" applyAlignment="1">
      <alignment horizontal="left" indent="2"/>
    </xf>
    <xf numFmtId="0" fontId="0" fillId="0" borderId="24" xfId="0" applyBorder="1" applyAlignment="1">
      <alignment horizontal="left" indent="4"/>
    </xf>
    <xf numFmtId="0" fontId="0" fillId="0" borderId="24" xfId="0" applyBorder="1" applyAlignment="1">
      <alignment horizontal="left" indent="5"/>
    </xf>
    <xf numFmtId="0" fontId="47" fillId="41" borderId="27" xfId="0" applyFont="1" applyFill="1" applyBorder="1" applyAlignment="1">
      <alignment vertical="center"/>
    </xf>
    <xf numFmtId="0" fontId="47" fillId="41" borderId="27" xfId="0" applyFont="1" applyFill="1" applyBorder="1" applyAlignment="1">
      <alignment vertical="center" wrapText="1"/>
    </xf>
    <xf numFmtId="173" fontId="45" fillId="0" borderId="0" xfId="0" applyNumberFormat="1" applyFont="1" applyAlignment="1">
      <alignment horizontal="right" vertical="center" shrinkToFit="1"/>
    </xf>
    <xf numFmtId="0" fontId="49" fillId="0" borderId="24" xfId="0" applyFont="1" applyBorder="1"/>
    <xf numFmtId="165" fontId="49" fillId="0" borderId="24" xfId="1" applyNumberFormat="1" applyFont="1" applyBorder="1"/>
    <xf numFmtId="165" fontId="49" fillId="0" borderId="24" xfId="1" applyNumberFormat="1" applyFont="1" applyFill="1" applyBorder="1"/>
    <xf numFmtId="3" fontId="19" fillId="0" borderId="24" xfId="65" applyNumberFormat="1" applyBorder="1" applyAlignment="1">
      <alignment horizontal="right"/>
    </xf>
    <xf numFmtId="0" fontId="0" fillId="0" borderId="31" xfId="0" applyBorder="1"/>
    <xf numFmtId="0" fontId="18" fillId="47" borderId="32" xfId="0" applyFont="1" applyFill="1" applyBorder="1"/>
    <xf numFmtId="0" fontId="0" fillId="0" borderId="0" xfId="0" applyAlignment="1">
      <alignment horizontal="left"/>
    </xf>
    <xf numFmtId="0" fontId="0" fillId="46" borderId="33" xfId="0" applyFill="1" applyBorder="1"/>
    <xf numFmtId="0" fontId="0" fillId="0" borderId="33" xfId="0" applyBorder="1"/>
    <xf numFmtId="165" fontId="0" fillId="0" borderId="33" xfId="1" applyNumberFormat="1" applyFont="1" applyBorder="1"/>
    <xf numFmtId="0" fontId="0" fillId="48" borderId="34" xfId="0" applyFill="1" applyBorder="1"/>
    <xf numFmtId="0" fontId="0" fillId="36" borderId="0" xfId="0" applyFill="1"/>
    <xf numFmtId="171" fontId="0" fillId="0" borderId="24" xfId="1" applyNumberFormat="1" applyFont="1" applyBorder="1"/>
    <xf numFmtId="0" fontId="0" fillId="48" borderId="0" xfId="0" applyFill="1"/>
    <xf numFmtId="16" fontId="50" fillId="35" borderId="0" xfId="0" quotePrefix="1" applyNumberFormat="1" applyFont="1" applyFill="1" applyAlignment="1">
      <alignment horizontal="center" vertical="top" wrapText="1"/>
    </xf>
    <xf numFmtId="16" fontId="50" fillId="35" borderId="0" xfId="0" applyNumberFormat="1" applyFont="1" applyFill="1" applyAlignment="1">
      <alignment horizontal="center" vertical="top" wrapText="1"/>
    </xf>
    <xf numFmtId="167" fontId="0" fillId="0" borderId="24" xfId="73" applyNumberFormat="1" applyFont="1" applyBorder="1"/>
    <xf numFmtId="167" fontId="0" fillId="0" borderId="0" xfId="73" applyNumberFormat="1" applyFont="1"/>
    <xf numFmtId="167" fontId="0" fillId="0" borderId="24" xfId="0" applyNumberFormat="1" applyBorder="1"/>
    <xf numFmtId="1" fontId="48" fillId="0" borderId="24" xfId="0" applyNumberFormat="1" applyFont="1" applyBorder="1"/>
    <xf numFmtId="11" fontId="0" fillId="0" borderId="24" xfId="75" applyNumberFormat="1" applyFont="1" applyBorder="1"/>
    <xf numFmtId="0" fontId="24" fillId="0" borderId="24" xfId="0" applyFont="1" applyBorder="1" applyAlignment="1">
      <alignment vertical="center" wrapText="1"/>
    </xf>
    <xf numFmtId="0" fontId="0" fillId="0" borderId="35" xfId="0" applyBorder="1" applyAlignment="1">
      <alignment wrapText="1"/>
    </xf>
    <xf numFmtId="3" fontId="0" fillId="0" borderId="24" xfId="0" applyNumberFormat="1" applyBorder="1"/>
    <xf numFmtId="3" fontId="0" fillId="0" borderId="35" xfId="0" applyNumberFormat="1" applyBorder="1"/>
    <xf numFmtId="3" fontId="0" fillId="0" borderId="24" xfId="0" applyNumberFormat="1" applyBorder="1" applyAlignment="1">
      <alignment horizontal="right"/>
    </xf>
    <xf numFmtId="0" fontId="0" fillId="0" borderId="24" xfId="0" applyBorder="1" applyAlignment="1">
      <alignment horizontal="left" wrapText="1" indent="4"/>
    </xf>
    <xf numFmtId="0" fontId="0" fillId="0" borderId="15" xfId="0" applyBorder="1"/>
    <xf numFmtId="165" fontId="0" fillId="0" borderId="0" xfId="1" applyNumberFormat="1" applyFont="1" applyBorder="1"/>
    <xf numFmtId="165" fontId="0" fillId="0" borderId="24" xfId="0" applyNumberFormat="1" applyBorder="1"/>
    <xf numFmtId="0" fontId="0" fillId="0" borderId="3" xfId="0" applyBorder="1"/>
    <xf numFmtId="0" fontId="24" fillId="36" borderId="0" xfId="0" applyFont="1" applyFill="1" applyAlignment="1">
      <alignment horizontal="left" vertical="center"/>
    </xf>
    <xf numFmtId="0" fontId="24" fillId="36" borderId="0" xfId="0" applyFont="1" applyFill="1" applyAlignment="1">
      <alignment vertical="center" wrapText="1"/>
    </xf>
    <xf numFmtId="0" fontId="0" fillId="35" borderId="0" xfId="0" applyFill="1"/>
    <xf numFmtId="2" fontId="0" fillId="35" borderId="0" xfId="0" applyNumberFormat="1" applyFill="1"/>
    <xf numFmtId="0" fontId="24" fillId="36" borderId="2" xfId="0" applyFont="1" applyFill="1" applyBorder="1" applyAlignment="1">
      <alignment horizontal="center" vertical="center" wrapText="1"/>
    </xf>
    <xf numFmtId="170" fontId="25" fillId="35" borderId="1" xfId="1" applyNumberFormat="1" applyFont="1" applyFill="1" applyBorder="1" applyAlignment="1">
      <alignment vertical="center" wrapText="1"/>
    </xf>
    <xf numFmtId="170" fontId="25" fillId="35" borderId="1" xfId="1" applyNumberFormat="1" applyFont="1" applyFill="1" applyBorder="1" applyAlignment="1">
      <alignment horizontal="right" vertical="center" wrapText="1"/>
    </xf>
    <xf numFmtId="170" fontId="25" fillId="36" borderId="1" xfId="1" applyNumberFormat="1" applyFont="1" applyFill="1" applyBorder="1" applyAlignment="1">
      <alignment horizontal="right" vertical="center" wrapText="1"/>
    </xf>
    <xf numFmtId="165" fontId="25" fillId="36" borderId="1" xfId="1" applyNumberFormat="1" applyFont="1" applyFill="1" applyBorder="1" applyAlignment="1">
      <alignment horizontal="right" vertical="center" wrapText="1"/>
    </xf>
    <xf numFmtId="43" fontId="25" fillId="36" borderId="1" xfId="1" applyFont="1" applyFill="1" applyBorder="1" applyAlignment="1">
      <alignment horizontal="right" vertical="center" wrapText="1"/>
    </xf>
    <xf numFmtId="0" fontId="24" fillId="36" borderId="2" xfId="0" applyFont="1" applyFill="1" applyBorder="1" applyAlignment="1">
      <alignment horizontal="left" vertical="center" wrapText="1"/>
    </xf>
    <xf numFmtId="0" fontId="52" fillId="2" borderId="3" xfId="0" applyFont="1" applyFill="1" applyBorder="1" applyAlignment="1">
      <alignment horizontal="center" vertical="center" wrapText="1"/>
    </xf>
    <xf numFmtId="0" fontId="52" fillId="38" borderId="1" xfId="0" applyFont="1" applyFill="1" applyBorder="1" applyAlignment="1">
      <alignment horizontal="center" vertical="center" wrapText="1"/>
    </xf>
    <xf numFmtId="0" fontId="53" fillId="2" borderId="0" xfId="0" applyFont="1" applyFill="1"/>
    <xf numFmtId="9" fontId="24" fillId="2" borderId="1" xfId="73" applyFont="1" applyFill="1" applyBorder="1" applyAlignment="1">
      <alignment horizontal="center" vertical="center" wrapText="1"/>
    </xf>
    <xf numFmtId="0" fontId="26" fillId="0" borderId="0" xfId="0" applyFont="1" applyAlignment="1">
      <alignment horizontal="center"/>
    </xf>
    <xf numFmtId="0" fontId="53" fillId="0" borderId="0" xfId="0" applyFont="1"/>
    <xf numFmtId="0" fontId="30" fillId="38" borderId="1" xfId="0" applyFont="1" applyFill="1" applyBorder="1" applyAlignment="1">
      <alignment horizontal="left" vertical="center"/>
    </xf>
    <xf numFmtId="170" fontId="0" fillId="0" borderId="0" xfId="0" applyNumberFormat="1"/>
    <xf numFmtId="4" fontId="0" fillId="0" borderId="0" xfId="0" applyNumberFormat="1"/>
    <xf numFmtId="0" fontId="24" fillId="0" borderId="3" xfId="0" applyFont="1" applyBorder="1" applyAlignment="1">
      <alignment horizontal="left" vertical="center" wrapText="1"/>
    </xf>
    <xf numFmtId="0" fontId="25" fillId="2" borderId="4" xfId="0" applyFont="1" applyFill="1" applyBorder="1" applyAlignment="1">
      <alignment horizontal="center" vertical="center" wrapText="1"/>
    </xf>
    <xf numFmtId="0" fontId="55" fillId="37" borderId="0" xfId="0" applyFont="1" applyFill="1"/>
    <xf numFmtId="0" fontId="30" fillId="37" borderId="0" xfId="0" applyFont="1" applyFill="1" applyAlignment="1">
      <alignment horizontal="center"/>
    </xf>
    <xf numFmtId="0" fontId="30" fillId="37" borderId="0" xfId="0" applyFont="1" applyFill="1" applyAlignment="1">
      <alignment horizontal="center" wrapText="1"/>
    </xf>
    <xf numFmtId="0" fontId="25" fillId="2" borderId="1" xfId="0" applyFont="1" applyFill="1" applyBorder="1" applyAlignment="1">
      <alignment horizontal="left" vertical="center" wrapText="1"/>
    </xf>
    <xf numFmtId="165" fontId="43" fillId="2" borderId="0" xfId="0" applyNumberFormat="1" applyFont="1" applyFill="1"/>
    <xf numFmtId="0" fontId="30" fillId="49" borderId="1" xfId="0" applyFont="1" applyFill="1" applyBorder="1" applyAlignment="1">
      <alignment horizontal="left" vertical="center" wrapText="1"/>
    </xf>
    <xf numFmtId="0" fontId="56" fillId="2" borderId="18" xfId="0" applyFont="1" applyFill="1" applyBorder="1"/>
    <xf numFmtId="9" fontId="43" fillId="2" borderId="1" xfId="73" applyFont="1" applyFill="1" applyBorder="1"/>
    <xf numFmtId="0" fontId="35" fillId="2" borderId="1" xfId="0" applyFont="1" applyFill="1" applyBorder="1" applyAlignment="1">
      <alignment horizontal="left" vertical="center" wrapText="1"/>
    </xf>
    <xf numFmtId="0" fontId="56" fillId="2" borderId="0" xfId="0" applyFont="1" applyFill="1"/>
    <xf numFmtId="165" fontId="30" fillId="49" borderId="1" xfId="0" applyNumberFormat="1" applyFont="1" applyFill="1" applyBorder="1" applyAlignment="1">
      <alignment horizontal="left" vertical="center" wrapText="1"/>
    </xf>
    <xf numFmtId="167" fontId="43" fillId="2" borderId="1" xfId="73" applyNumberFormat="1" applyFont="1" applyFill="1" applyBorder="1" applyAlignment="1">
      <alignment vertical="center"/>
    </xf>
    <xf numFmtId="9" fontId="43" fillId="2" borderId="0" xfId="73" applyFont="1" applyFill="1"/>
    <xf numFmtId="0" fontId="35" fillId="2" borderId="0" xfId="0" applyFont="1" applyFill="1" applyAlignment="1">
      <alignment horizontal="left" vertical="center" wrapText="1"/>
    </xf>
    <xf numFmtId="165" fontId="24" fillId="2" borderId="0" xfId="1" applyNumberFormat="1" applyFont="1" applyFill="1" applyBorder="1" applyAlignment="1">
      <alignment horizontal="left" vertical="center" wrapText="1"/>
    </xf>
    <xf numFmtId="167" fontId="43" fillId="2" borderId="1" xfId="73" applyNumberFormat="1" applyFont="1" applyFill="1" applyBorder="1"/>
    <xf numFmtId="0" fontId="30" fillId="37" borderId="14" xfId="0" applyFont="1" applyFill="1" applyBorder="1" applyAlignment="1">
      <alignment horizontal="center" vertical="center" wrapText="1"/>
    </xf>
    <xf numFmtId="0" fontId="30" fillId="37" borderId="15" xfId="0" applyFont="1" applyFill="1" applyBorder="1" applyAlignment="1">
      <alignment horizontal="center" vertical="center" wrapText="1"/>
    </xf>
    <xf numFmtId="0" fontId="24" fillId="36" borderId="3" xfId="0" applyFont="1" applyFill="1" applyBorder="1" applyAlignment="1">
      <alignment horizontal="left" vertical="center" wrapText="1"/>
    </xf>
    <xf numFmtId="0" fontId="24" fillId="36" borderId="4" xfId="0" applyFont="1" applyFill="1" applyBorder="1" applyAlignment="1">
      <alignment horizontal="left" vertical="center" wrapText="1"/>
    </xf>
    <xf numFmtId="0" fontId="24" fillId="36" borderId="3" xfId="0" applyFont="1" applyFill="1" applyBorder="1" applyAlignment="1">
      <alignment horizontal="center" vertical="center" wrapText="1"/>
    </xf>
    <xf numFmtId="0" fontId="24" fillId="36" borderId="4" xfId="0" applyFont="1" applyFill="1" applyBorder="1" applyAlignment="1">
      <alignment horizontal="center" vertical="center" wrapText="1"/>
    </xf>
    <xf numFmtId="0" fontId="30" fillId="37" borderId="2" xfId="0" applyFont="1" applyFill="1" applyBorder="1" applyAlignment="1">
      <alignment horizontal="center" vertical="center" wrapText="1"/>
    </xf>
    <xf numFmtId="0" fontId="30" fillId="37" borderId="18" xfId="0" applyFont="1" applyFill="1" applyBorder="1" applyAlignment="1">
      <alignment horizontal="center" vertical="center" wrapText="1"/>
    </xf>
    <xf numFmtId="0" fontId="25" fillId="35" borderId="3" xfId="0" applyFont="1" applyFill="1" applyBorder="1" applyAlignment="1">
      <alignment horizontal="left" vertical="center" wrapText="1"/>
    </xf>
    <xf numFmtId="0" fontId="25" fillId="35" borderId="4" xfId="0" applyFont="1" applyFill="1" applyBorder="1" applyAlignment="1">
      <alignment horizontal="left" vertical="center" wrapText="1"/>
    </xf>
    <xf numFmtId="0" fontId="25" fillId="35" borderId="19" xfId="0" applyFont="1" applyFill="1" applyBorder="1" applyAlignment="1">
      <alignment horizontal="left" vertical="center" wrapText="1"/>
    </xf>
    <xf numFmtId="0" fontId="25" fillId="35" borderId="3" xfId="0" applyFont="1" applyFill="1" applyBorder="1" applyAlignment="1">
      <alignment horizontal="center" vertical="center" wrapText="1"/>
    </xf>
    <xf numFmtId="0" fontId="25" fillId="35" borderId="4" xfId="0" applyFont="1" applyFill="1" applyBorder="1" applyAlignment="1">
      <alignment horizontal="center" vertical="center" wrapText="1"/>
    </xf>
    <xf numFmtId="0" fontId="24" fillId="36" borderId="19" xfId="0" applyFont="1" applyFill="1" applyBorder="1" applyAlignment="1">
      <alignment horizontal="left" vertical="center" wrapText="1"/>
    </xf>
    <xf numFmtId="0" fontId="24" fillId="36" borderId="19" xfId="0" applyFont="1" applyFill="1" applyBorder="1" applyAlignment="1">
      <alignment horizontal="center" vertical="center" wrapText="1"/>
    </xf>
    <xf numFmtId="0" fontId="24" fillId="36" borderId="20" xfId="0" applyFont="1" applyFill="1" applyBorder="1" applyAlignment="1">
      <alignment horizontal="left" vertical="center" wrapText="1"/>
    </xf>
    <xf numFmtId="0" fontId="24" fillId="36" borderId="21" xfId="0" applyFont="1" applyFill="1" applyBorder="1" applyAlignment="1">
      <alignment horizontal="left" vertical="center" wrapText="1"/>
    </xf>
    <xf numFmtId="0" fontId="24" fillId="36" borderId="16"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9" xfId="0" applyFont="1" applyBorder="1" applyAlignment="1">
      <alignment horizontal="left" vertical="center" wrapText="1"/>
    </xf>
    <xf numFmtId="0" fontId="25" fillId="2" borderId="1" xfId="0" applyFont="1" applyFill="1" applyBorder="1" applyAlignment="1">
      <alignment horizontal="center" vertical="center" wrapText="1"/>
    </xf>
    <xf numFmtId="0" fontId="24" fillId="2" borderId="20"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16" xfId="0" applyFont="1" applyBorder="1" applyAlignment="1">
      <alignment horizontal="left" vertical="center" wrapText="1"/>
    </xf>
    <xf numFmtId="0" fontId="38"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left" vertical="center"/>
    </xf>
    <xf numFmtId="0" fontId="0" fillId="2" borderId="18" xfId="0" applyFill="1" applyBorder="1" applyAlignment="1">
      <alignment horizontal="left" vertical="center"/>
    </xf>
    <xf numFmtId="0" fontId="38" fillId="2" borderId="1" xfId="0" applyFont="1" applyFill="1" applyBorder="1" applyAlignment="1">
      <alignment horizontal="center"/>
    </xf>
    <xf numFmtId="0" fontId="0" fillId="0" borderId="24" xfId="0" applyBorder="1"/>
    <xf numFmtId="0" fontId="47" fillId="41" borderId="27" xfId="0" applyFont="1" applyFill="1" applyBorder="1" applyAlignment="1">
      <alignment horizontal="left" vertical="center" wrapText="1"/>
    </xf>
    <xf numFmtId="0" fontId="47" fillId="41" borderId="27" xfId="0" applyFont="1" applyFill="1" applyBorder="1" applyAlignment="1">
      <alignment horizontal="center" vertical="center"/>
    </xf>
    <xf numFmtId="0" fontId="47" fillId="41" borderId="27" xfId="0" applyFont="1" applyFill="1" applyBorder="1" applyAlignment="1">
      <alignment horizontal="left" vertical="center"/>
    </xf>
  </cellXfs>
  <cellStyles count="7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6" xr:uid="{00000000-0005-0000-0000-00000D000000}"/>
    <cellStyle name="60% - Accent2" xfId="33" builtinId="36" customBuiltin="1"/>
    <cellStyle name="60% - Accent2 2" xfId="57" xr:uid="{00000000-0005-0000-0000-00000F000000}"/>
    <cellStyle name="60% - Accent3" xfId="37" builtinId="40" customBuiltin="1"/>
    <cellStyle name="60% - Accent3 2" xfId="58" xr:uid="{00000000-0005-0000-0000-000011000000}"/>
    <cellStyle name="60% - Accent4" xfId="41" builtinId="44" customBuiltin="1"/>
    <cellStyle name="60% - Accent4 2" xfId="59" xr:uid="{00000000-0005-0000-0000-000013000000}"/>
    <cellStyle name="60% - Accent5" xfId="45" builtinId="48" customBuiltin="1"/>
    <cellStyle name="60% - Accent5 2" xfId="60" xr:uid="{00000000-0005-0000-0000-000015000000}"/>
    <cellStyle name="60% - Accent6" xfId="49" builtinId="52" customBuiltin="1"/>
    <cellStyle name="60% - Accent6 2" xfId="62" xr:uid="{00000000-0005-0000-0000-000017000000}"/>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mma" xfId="1" builtinId="3"/>
    <cellStyle name="Comma 2" xfId="64" xr:uid="{6A5BFCA9-590E-43C8-B84E-80BED00CA720}"/>
    <cellStyle name="Comma 2 2" xfId="67" xr:uid="{63BE1B91-A5F9-4E69-A787-53E0505D5F2F}"/>
    <cellStyle name="Comma 3" xfId="69" xr:uid="{8A499223-B0A6-4A68-909A-5996D644B449}"/>
    <cellStyle name="Comma 4" xfId="70" xr:uid="{45ED1BE4-AFF2-4AE1-BFFA-18C2C0C60137}"/>
    <cellStyle name="Comma 5" xfId="66" xr:uid="{691E256B-02E8-4712-AF3C-D7365D455BB3}"/>
    <cellStyle name="Currency" xfId="75" builtinId="4"/>
    <cellStyle name="Dark Block" xfId="76" xr:uid="{2EC08AEC-43A0-43DB-B399-9393EA459F1F}"/>
    <cellStyle name="Explanatory Text" xfId="24"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74" builtinId="8"/>
    <cellStyle name="Hyperlink 2" xfId="71" xr:uid="{79F256D6-7885-478E-B4FD-DBF5CE97D854}"/>
    <cellStyle name="Input" xfId="17" builtinId="20" customBuiltin="1"/>
    <cellStyle name="Linked Cell" xfId="20" builtinId="24" customBuiltin="1"/>
    <cellStyle name="Neutral" xfId="16" builtinId="28" customBuiltin="1"/>
    <cellStyle name="Neutral 2" xfId="53" xr:uid="{00000000-0005-0000-0000-00002B000000}"/>
    <cellStyle name="Normal" xfId="0" builtinId="0"/>
    <cellStyle name="Normal 2" xfId="2" xr:uid="{00000000-0005-0000-0000-00002D000000}"/>
    <cellStyle name="Normal 2 2" xfId="65" xr:uid="{E38E22B4-86F0-4CF7-AAAA-C6ED5F1FCA77}"/>
    <cellStyle name="Normal 3" xfId="51" xr:uid="{00000000-0005-0000-0000-00002E000000}"/>
    <cellStyle name="Normal 4" xfId="72" xr:uid="{70294779-987F-4314-AD23-089BFEAD907F}"/>
    <cellStyle name="Normal 5" xfId="50" xr:uid="{00000000-0005-0000-0000-00002F000000}"/>
    <cellStyle name="Normal 6" xfId="68" xr:uid="{0B4304F1-3AB9-44F1-9139-D770466E3E71}"/>
    <cellStyle name="Note" xfId="23" builtinId="10" customBuiltin="1"/>
    <cellStyle name="Output" xfId="18" builtinId="21" customBuiltin="1"/>
    <cellStyle name="Percent" xfId="73" builtinId="5"/>
    <cellStyle name="SN_it" xfId="63" xr:uid="{00000000-0005-0000-0000-000033000000}"/>
    <cellStyle name="style1696617248070" xfId="3" xr:uid="{00000000-0005-0000-0000-000034000000}"/>
    <cellStyle name="style1696617248195" xfId="4" xr:uid="{00000000-0005-0000-0000-000035000000}"/>
    <cellStyle name="style1696617438786" xfId="5" xr:uid="{00000000-0005-0000-0000-000036000000}"/>
    <cellStyle name="style1696617438912" xfId="6" xr:uid="{00000000-0005-0000-0000-000037000000}"/>
    <cellStyle name="style1697631146425" xfId="7" xr:uid="{00000000-0005-0000-0000-000038000000}"/>
    <cellStyle name="style1697632087416" xfId="8" xr:uid="{00000000-0005-0000-0000-000039000000}"/>
    <cellStyle name="style1697967907668" xfId="61" xr:uid="{00000000-0005-0000-0000-00003A000000}"/>
    <cellStyle name="style1697968024735" xfId="54" xr:uid="{00000000-0005-0000-0000-00003B000000}"/>
    <cellStyle name="style1697968024780" xfId="55" xr:uid="{00000000-0005-0000-0000-00003C000000}"/>
    <cellStyle name="Title" xfId="9" builtinId="15" customBuiltin="1"/>
    <cellStyle name="Title 2" xfId="52" xr:uid="{00000000-0005-0000-0000-00003E000000}"/>
    <cellStyle name="Total" xfId="25" builtinId="25" customBuiltin="1"/>
    <cellStyle name="Warning Text" xfId="22" builtinId="11" customBuiltin="1"/>
  </cellStyles>
  <dxfs count="0"/>
  <tableStyles count="1" defaultTableStyle="TableStyleMedium2" defaultPivotStyle="PivotStyleLight16">
    <tableStyle name="Invisible" pivot="0" table="0" count="0" xr9:uid="{00000000-0011-0000-FFFF-FFFF00000000}"/>
  </tableStyles>
  <colors>
    <mruColors>
      <color rgb="FFF8F8F8"/>
      <color rgb="FFEDEDED"/>
      <color rgb="FFCBCBCB"/>
      <color rgb="FFE6EBF6"/>
      <color rgb="FFE7E6E6"/>
      <color rgb="FFFDFDFD"/>
      <color rgb="FFFFFFFF"/>
      <color rgb="FFE9EDF7"/>
      <color rgb="FFF3F1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685800</xdr:colOff>
          <xdr:row>184</xdr:row>
          <xdr:rowOff>15240</xdr:rowOff>
        </xdr:from>
        <xdr:to>
          <xdr:col>16</xdr:col>
          <xdr:colOff>685800</xdr:colOff>
          <xdr:row>185</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146</xdr:row>
          <xdr:rowOff>251460</xdr:rowOff>
        </xdr:from>
        <xdr:to>
          <xdr:col>16</xdr:col>
          <xdr:colOff>685800</xdr:colOff>
          <xdr:row>148</xdr:row>
          <xdr:rowOff>60960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15240</xdr:colOff>
          <xdr:row>113</xdr:row>
          <xdr:rowOff>1630680</xdr:rowOff>
        </xdr:from>
        <xdr:to>
          <xdr:col>17</xdr:col>
          <xdr:colOff>15240</xdr:colOff>
          <xdr:row>113</xdr:row>
          <xdr:rowOff>1981200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670560</xdr:colOff>
          <xdr:row>46</xdr:row>
          <xdr:rowOff>45720</xdr:rowOff>
        </xdr:from>
        <xdr:to>
          <xdr:col>16</xdr:col>
          <xdr:colOff>670560</xdr:colOff>
          <xdr:row>48</xdr:row>
          <xdr:rowOff>22860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0</xdr:colOff>
          <xdr:row>201</xdr:row>
          <xdr:rowOff>106680</xdr:rowOff>
        </xdr:from>
        <xdr:to>
          <xdr:col>16</xdr:col>
          <xdr:colOff>693420</xdr:colOff>
          <xdr:row>203</xdr:row>
          <xdr:rowOff>91440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0</xdr:colOff>
          <xdr:row>218</xdr:row>
          <xdr:rowOff>1097280</xdr:rowOff>
        </xdr:from>
        <xdr:to>
          <xdr:col>17</xdr:col>
          <xdr:colOff>0</xdr:colOff>
          <xdr:row>219</xdr:row>
          <xdr:rowOff>342900</xdr:rowOff>
        </xdr:to>
        <xdr:sp macro="" textlink="">
          <xdr:nvSpPr>
            <xdr:cNvPr id="9222" name="Button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15240</xdr:colOff>
          <xdr:row>239</xdr:row>
          <xdr:rowOff>160020</xdr:rowOff>
        </xdr:from>
        <xdr:to>
          <xdr:col>17</xdr:col>
          <xdr:colOff>15240</xdr:colOff>
          <xdr:row>241</xdr:row>
          <xdr:rowOff>137160</xdr:rowOff>
        </xdr:to>
        <xdr:sp macro="" textlink="">
          <xdr:nvSpPr>
            <xdr:cNvPr id="9223" name="Button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315</xdr:row>
          <xdr:rowOff>160020</xdr:rowOff>
        </xdr:from>
        <xdr:to>
          <xdr:col>16</xdr:col>
          <xdr:colOff>685800</xdr:colOff>
          <xdr:row>317</xdr:row>
          <xdr:rowOff>137160</xdr:rowOff>
        </xdr:to>
        <xdr:sp macro="" textlink="">
          <xdr:nvSpPr>
            <xdr:cNvPr id="9224" name="Button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364</xdr:row>
          <xdr:rowOff>160020</xdr:rowOff>
        </xdr:from>
        <xdr:to>
          <xdr:col>16</xdr:col>
          <xdr:colOff>685800</xdr:colOff>
          <xdr:row>366</xdr:row>
          <xdr:rowOff>137160</xdr:rowOff>
        </xdr:to>
        <xdr:sp macro="" textlink="">
          <xdr:nvSpPr>
            <xdr:cNvPr id="9225" name="Button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417</xdr:row>
          <xdr:rowOff>160020</xdr:rowOff>
        </xdr:from>
        <xdr:to>
          <xdr:col>16</xdr:col>
          <xdr:colOff>685800</xdr:colOff>
          <xdr:row>419</xdr:row>
          <xdr:rowOff>137160</xdr:rowOff>
        </xdr:to>
        <xdr:sp macro="" textlink="">
          <xdr:nvSpPr>
            <xdr:cNvPr id="9226" name="Button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481</xdr:row>
          <xdr:rowOff>160020</xdr:rowOff>
        </xdr:from>
        <xdr:to>
          <xdr:col>16</xdr:col>
          <xdr:colOff>685800</xdr:colOff>
          <xdr:row>483</xdr:row>
          <xdr:rowOff>137160</xdr:rowOff>
        </xdr:to>
        <xdr:sp macro="" textlink="">
          <xdr:nvSpPr>
            <xdr:cNvPr id="9227" name="Button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527</xdr:row>
          <xdr:rowOff>160020</xdr:rowOff>
        </xdr:from>
        <xdr:to>
          <xdr:col>16</xdr:col>
          <xdr:colOff>685800</xdr:colOff>
          <xdr:row>529</xdr:row>
          <xdr:rowOff>137160</xdr:rowOff>
        </xdr:to>
        <xdr:sp macro="" textlink="">
          <xdr:nvSpPr>
            <xdr:cNvPr id="9228" name="Button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568</xdr:row>
          <xdr:rowOff>160020</xdr:rowOff>
        </xdr:from>
        <xdr:to>
          <xdr:col>16</xdr:col>
          <xdr:colOff>685800</xdr:colOff>
          <xdr:row>570</xdr:row>
          <xdr:rowOff>137160</xdr:rowOff>
        </xdr:to>
        <xdr:sp macro="" textlink="">
          <xdr:nvSpPr>
            <xdr:cNvPr id="9229" name="Button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685800</xdr:colOff>
          <xdr:row>599</xdr:row>
          <xdr:rowOff>160020</xdr:rowOff>
        </xdr:from>
        <xdr:to>
          <xdr:col>16</xdr:col>
          <xdr:colOff>685800</xdr:colOff>
          <xdr:row>600</xdr:row>
          <xdr:rowOff>137160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7620</xdr:colOff>
          <xdr:row>621</xdr:row>
          <xdr:rowOff>30480</xdr:rowOff>
        </xdr:from>
        <xdr:to>
          <xdr:col>17</xdr:col>
          <xdr:colOff>7620</xdr:colOff>
          <xdr:row>622</xdr:row>
          <xdr:rowOff>190500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693420</xdr:colOff>
          <xdr:row>649</xdr:row>
          <xdr:rowOff>60960</xdr:rowOff>
        </xdr:from>
        <xdr:to>
          <xdr:col>16</xdr:col>
          <xdr:colOff>693420</xdr:colOff>
          <xdr:row>651</xdr:row>
          <xdr:rowOff>38100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15240</xdr:colOff>
          <xdr:row>687</xdr:row>
          <xdr:rowOff>60960</xdr:rowOff>
        </xdr:from>
        <xdr:to>
          <xdr:col>17</xdr:col>
          <xdr:colOff>15240</xdr:colOff>
          <xdr:row>689</xdr:row>
          <xdr:rowOff>38100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7620</xdr:colOff>
          <xdr:row>715</xdr:row>
          <xdr:rowOff>60960</xdr:rowOff>
        </xdr:from>
        <xdr:to>
          <xdr:col>17</xdr:col>
          <xdr:colOff>7620</xdr:colOff>
          <xdr:row>715</xdr:row>
          <xdr:rowOff>403860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80"/>
                  </a:solidFill>
                  <a:latin typeface="Calibri"/>
                  <a:ea typeface="Calibri"/>
                  <a:cs typeface="Calibri"/>
                </a:rPr>
                <a:t>Սկիզբ</a:t>
              </a:r>
            </a:p>
          </xdr:txBody>
        </xdr:sp>
        <xdr:clientData fPrintsWithSheet="0"/>
      </xdr:twoCellAnchor>
    </mc:Choice>
    <mc:Fallback/>
  </mc:AlternateContent>
  <xdr:twoCellAnchor editAs="oneCell">
    <xdr:from>
      <xdr:col>10</xdr:col>
      <xdr:colOff>312420</xdr:colOff>
      <xdr:row>734</xdr:row>
      <xdr:rowOff>100817</xdr:rowOff>
    </xdr:from>
    <xdr:to>
      <xdr:col>18</xdr:col>
      <xdr:colOff>323903</xdr:colOff>
      <xdr:row>750</xdr:row>
      <xdr:rowOff>50539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486900" y="166834037"/>
          <a:ext cx="5558843" cy="2875800"/>
        </a:xfrm>
        <a:prstGeom prst="rect">
          <a:avLst/>
        </a:prstGeom>
      </xdr:spPr>
    </xdr:pic>
    <xdr:clientData/>
  </xdr:twoCellAnchor>
  <xdr:twoCellAnchor editAs="oneCell">
    <xdr:from>
      <xdr:col>1</xdr:col>
      <xdr:colOff>22860</xdr:colOff>
      <xdr:row>751</xdr:row>
      <xdr:rowOff>154867</xdr:rowOff>
    </xdr:from>
    <xdr:to>
      <xdr:col>6</xdr:col>
      <xdr:colOff>527684</xdr:colOff>
      <xdr:row>767</xdr:row>
      <xdr:rowOff>87470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632460" y="170012287"/>
          <a:ext cx="6082664" cy="28586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vittacom.sharepoint.com/Users/Qnarik/Desktop/Entrepreneurship%20Strategy_Action%20Plan_v4%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ummary"/>
      <sheetName val="Results Framework "/>
      <sheetName val="Indicator Passports"/>
      <sheetName val="Action Plan"/>
      <sheetName val="Costing Framework"/>
      <sheetName val="results indicators calculations"/>
      <sheetName val="costing variables"/>
      <sheetName val="costing calculations"/>
      <sheetName val="Entrepreneurship Strategy_Actio"/>
    </sheetNames>
    <definedNames>
      <definedName name="Macro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Sevak Hovhannisyan" id="{DAD203E8-6B2B-4D53-9A51-F579894D8E98}" userId="S::sevak.hovhannisyan@civitta.com::53cfe056-a729-47d1-afcd-3356b0a16ad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7" dT="2024-09-11T05:20:59.95" personId="{DAD203E8-6B2B-4D53-9A51-F579894D8E98}" id="{2F27E426-D88D-4545-8C7D-3FFAF3649D45}">
    <text>Սա կարելի է արտապատվիրել խորհրդատվական ընկերության, որը կքարտեզագրի և կպատրաստի համապարփակ տվյալների էլեկտրոնային բազա խորհրդատուների պրոֆայլով և կոնտակտային տվյալներով։ Կարելի է 10 մլն դրամ դնել։</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99A1-2F22-4139-BF1A-B271154B381F}">
  <sheetPr codeName="Sheet3">
    <pageSetUpPr fitToPage="1"/>
  </sheetPr>
  <dimension ref="B2:R26"/>
  <sheetViews>
    <sheetView zoomScale="41" zoomScaleNormal="105" workbookViewId="0">
      <pane ySplit="3" topLeftCell="A12" activePane="bottomLeft" state="frozen"/>
      <selection pane="bottomLeft" activeCell="E16" sqref="E16"/>
    </sheetView>
  </sheetViews>
  <sheetFormatPr defaultColWidth="8.88671875" defaultRowHeight="18"/>
  <cols>
    <col min="1" max="1" width="5.33203125" style="1" customWidth="1"/>
    <col min="2" max="2" width="45.33203125" style="1" bestFit="1" customWidth="1"/>
    <col min="3" max="3" width="52.109375" style="1" customWidth="1"/>
    <col min="4" max="4" width="9.33203125" style="1" bestFit="1" customWidth="1"/>
    <col min="5" max="5" width="61.6640625" style="4" customWidth="1"/>
    <col min="6" max="6" width="18" style="1" customWidth="1"/>
    <col min="7" max="7" width="20.33203125" style="1" customWidth="1"/>
    <col min="8" max="8" width="20.5546875" style="1" customWidth="1"/>
    <col min="9" max="10" width="17.88671875" style="1" customWidth="1"/>
    <col min="11" max="11" width="13.6640625" style="1" customWidth="1"/>
    <col min="12" max="12" width="14.44140625" style="1" customWidth="1"/>
    <col min="13" max="13" width="14.109375" style="1" customWidth="1"/>
    <col min="14" max="14" width="12.5546875" style="1" customWidth="1"/>
    <col min="15" max="15" width="13.6640625" style="1" customWidth="1"/>
    <col min="16" max="16" width="12.88671875" style="1" customWidth="1"/>
    <col min="17" max="17" width="13.109375" style="1" customWidth="1"/>
    <col min="18" max="18" width="14" style="1" customWidth="1"/>
    <col min="19" max="16384" width="8.88671875" style="1"/>
  </cols>
  <sheetData>
    <row r="2" spans="2:18" ht="46.95" customHeight="1">
      <c r="B2" s="11" t="s">
        <v>0</v>
      </c>
      <c r="C2" s="11" t="s">
        <v>1</v>
      </c>
      <c r="D2" s="334" t="s">
        <v>2</v>
      </c>
      <c r="E2" s="335"/>
      <c r="F2" s="328" t="s">
        <v>3</v>
      </c>
      <c r="G2" s="329"/>
      <c r="H2" s="329"/>
      <c r="I2" s="329"/>
      <c r="J2" s="329"/>
      <c r="K2" s="329"/>
      <c r="L2" s="329"/>
      <c r="M2" s="329" t="s">
        <v>4</v>
      </c>
      <c r="N2" s="329"/>
      <c r="O2" s="329"/>
      <c r="P2" s="329"/>
      <c r="Q2" s="329"/>
      <c r="R2" s="329"/>
    </row>
    <row r="3" spans="2:18">
      <c r="B3" s="2"/>
      <c r="C3" s="2"/>
      <c r="D3" s="2"/>
      <c r="E3" s="2"/>
      <c r="F3" s="2">
        <v>2018</v>
      </c>
      <c r="G3" s="2">
        <v>2019</v>
      </c>
      <c r="H3" s="2">
        <v>2020</v>
      </c>
      <c r="I3" s="2">
        <v>2021</v>
      </c>
      <c r="J3" s="2">
        <v>2022</v>
      </c>
      <c r="K3" s="2">
        <v>2023</v>
      </c>
      <c r="L3" s="2">
        <v>2024</v>
      </c>
      <c r="M3" s="2">
        <v>2025</v>
      </c>
      <c r="N3" s="2">
        <v>2026</v>
      </c>
      <c r="O3" s="2">
        <v>2027</v>
      </c>
      <c r="P3" s="2">
        <v>2028</v>
      </c>
      <c r="Q3" s="2">
        <v>2029</v>
      </c>
      <c r="R3" s="2">
        <v>2030</v>
      </c>
    </row>
    <row r="4" spans="2:18" ht="72" customHeight="1">
      <c r="B4" s="339" t="s">
        <v>5</v>
      </c>
      <c r="C4" s="336" t="s">
        <v>774</v>
      </c>
      <c r="D4" s="3" t="s">
        <v>6</v>
      </c>
      <c r="E4" s="17" t="s">
        <v>449</v>
      </c>
      <c r="F4" s="18">
        <v>5807.9788127434877</v>
      </c>
      <c r="G4" s="18">
        <v>6110.2912565804536</v>
      </c>
      <c r="H4" s="18">
        <v>5924.2241118518168</v>
      </c>
      <c r="I4" s="18">
        <v>6774.3740753984112</v>
      </c>
      <c r="J4" s="18">
        <v>7862.5925037908737</v>
      </c>
      <c r="K4" s="18">
        <v>8843.4692958547621</v>
      </c>
      <c r="L4" s="18">
        <v>9545.4445478424041</v>
      </c>
      <c r="M4" s="18">
        <v>10231.036703656546</v>
      </c>
      <c r="N4" s="18">
        <v>10895.942127175076</v>
      </c>
      <c r="O4" s="18">
        <v>11536.672884876542</v>
      </c>
      <c r="P4" s="18">
        <v>12150.522397007981</v>
      </c>
      <c r="Q4" s="18">
        <v>12735.510236828717</v>
      </c>
      <c r="R4" s="18">
        <v>13290.313222095087</v>
      </c>
    </row>
    <row r="5" spans="2:18" ht="72" customHeight="1">
      <c r="B5" s="340"/>
      <c r="C5" s="337"/>
      <c r="D5" s="3" t="s">
        <v>7</v>
      </c>
      <c r="E5" s="17" t="s">
        <v>452</v>
      </c>
      <c r="F5" s="295">
        <v>14.736839517860901</v>
      </c>
      <c r="G5" s="295">
        <v>15.250148574487099</v>
      </c>
      <c r="H5" s="295">
        <v>11.910507972181501</v>
      </c>
      <c r="I5" s="295">
        <v>16.169034532224899</v>
      </c>
      <c r="J5" s="295">
        <v>16.971198930126302</v>
      </c>
      <c r="K5" s="295">
        <v>17.813159626314913</v>
      </c>
      <c r="L5" s="295">
        <v>18.6968909609154</v>
      </c>
      <c r="M5" s="295">
        <v>19.624465223336568</v>
      </c>
      <c r="N5" s="295">
        <v>20.598057511647962</v>
      </c>
      <c r="O5" s="295">
        <v>21.61995083303578</v>
      </c>
      <c r="P5" s="295">
        <v>22.692541457298226</v>
      </c>
      <c r="Q5" s="295">
        <v>23.818344535933957</v>
      </c>
      <c r="R5" s="295">
        <v>25</v>
      </c>
    </row>
    <row r="6" spans="2:18" ht="72" customHeight="1">
      <c r="B6" s="340"/>
      <c r="C6" s="337"/>
      <c r="D6" s="3" t="s">
        <v>8</v>
      </c>
      <c r="E6" s="17" t="s">
        <v>455</v>
      </c>
      <c r="F6" s="295">
        <v>39.392894028607309</v>
      </c>
      <c r="G6" s="295">
        <v>41.35080136208493</v>
      </c>
      <c r="H6" s="295">
        <v>29.764986915193393</v>
      </c>
      <c r="I6" s="295">
        <v>35.906439990126685</v>
      </c>
      <c r="J6" s="295">
        <v>50.013647695145139</v>
      </c>
      <c r="K6" s="295">
        <v>58.181455474507217</v>
      </c>
      <c r="L6" s="295">
        <v>38.271465692700389</v>
      </c>
      <c r="M6" s="295">
        <v>40.015131314272303</v>
      </c>
      <c r="N6" s="295">
        <v>41.838239145459717</v>
      </c>
      <c r="O6" s="295">
        <v>43.744408609958612</v>
      </c>
      <c r="P6" s="295">
        <v>45.73742403407725</v>
      </c>
      <c r="Q6" s="295">
        <v>47.821242159775231</v>
      </c>
      <c r="R6" s="295">
        <v>50</v>
      </c>
    </row>
    <row r="7" spans="2:18" ht="72" customHeight="1">
      <c r="B7" s="340"/>
      <c r="C7" s="337"/>
      <c r="D7" s="3" t="s">
        <v>9</v>
      </c>
      <c r="E7" s="17" t="s">
        <v>457</v>
      </c>
      <c r="F7" s="295">
        <v>57.922164894535555</v>
      </c>
      <c r="G7" s="295">
        <v>57.118985491483883</v>
      </c>
      <c r="H7" s="295">
        <v>53.285132461737192</v>
      </c>
      <c r="I7" s="295">
        <v>54.103043938006799</v>
      </c>
      <c r="J7" s="295">
        <v>33.733797649747956</v>
      </c>
      <c r="K7" s="295">
        <v>26.938923798439863</v>
      </c>
      <c r="L7" s="295">
        <v>30.203815899397142</v>
      </c>
      <c r="M7" s="295">
        <v>33.864400141237589</v>
      </c>
      <c r="N7" s="295">
        <v>37.968632862337842</v>
      </c>
      <c r="O7" s="295">
        <v>42.570282521541117</v>
      </c>
      <c r="P7" s="295">
        <v>47.72963410440385</v>
      </c>
      <c r="Q7" s="295">
        <v>53.514278900721742</v>
      </c>
      <c r="R7" s="295">
        <v>60</v>
      </c>
    </row>
    <row r="8" spans="2:18" ht="72" customHeight="1">
      <c r="B8" s="340"/>
      <c r="C8" s="337"/>
      <c r="D8" s="3" t="s">
        <v>10</v>
      </c>
      <c r="E8" s="17" t="s">
        <v>459</v>
      </c>
      <c r="F8" s="295">
        <v>26.145640155870332</v>
      </c>
      <c r="G8" s="295">
        <v>25.384287540651396</v>
      </c>
      <c r="H8" s="295">
        <v>27.602224924830892</v>
      </c>
      <c r="I8" s="295">
        <v>27.554189059949465</v>
      </c>
      <c r="J8" s="295">
        <v>27.042894370368771</v>
      </c>
      <c r="K8" s="295">
        <v>26.934244700828913</v>
      </c>
      <c r="L8" s="295">
        <v>27.961257130076547</v>
      </c>
      <c r="M8" s="295">
        <v>29.027429912307703</v>
      </c>
      <c r="N8" s="295">
        <v>30.134256245853898</v>
      </c>
      <c r="O8" s="295">
        <v>31.283286265235606</v>
      </c>
      <c r="P8" s="295">
        <v>32.476129212159599</v>
      </c>
      <c r="Q8" s="295">
        <v>33.714455689297218</v>
      </c>
      <c r="R8" s="295">
        <v>35</v>
      </c>
    </row>
    <row r="9" spans="2:18" ht="72" customHeight="1">
      <c r="B9" s="340"/>
      <c r="C9" s="337"/>
      <c r="D9" s="3" t="s">
        <v>11</v>
      </c>
      <c r="E9" s="17" t="s">
        <v>461</v>
      </c>
      <c r="F9" s="295">
        <v>14.174811824901386</v>
      </c>
      <c r="G9" s="295">
        <v>14.112637374675852</v>
      </c>
      <c r="H9" s="295">
        <v>12.398973661385369</v>
      </c>
      <c r="I9" s="295">
        <v>12.516883192261885</v>
      </c>
      <c r="J9" s="295">
        <v>13.265965795420945</v>
      </c>
      <c r="K9" s="295">
        <v>13.471250792820264</v>
      </c>
      <c r="L9" s="295">
        <v>13.679712485441563</v>
      </c>
      <c r="M9" s="295">
        <v>13.891400031248942</v>
      </c>
      <c r="N9" s="295">
        <v>14.106363348904425</v>
      </c>
      <c r="O9" s="295">
        <v>14.324653129539415</v>
      </c>
      <c r="P9" s="295">
        <v>14.546320848708319</v>
      </c>
      <c r="Q9" s="295">
        <v>14.771418778527156</v>
      </c>
      <c r="R9" s="295">
        <v>15</v>
      </c>
    </row>
    <row r="10" spans="2:18" ht="72" customHeight="1">
      <c r="B10" s="340"/>
      <c r="C10" s="337"/>
      <c r="D10" s="3" t="s">
        <v>12</v>
      </c>
      <c r="E10" s="17" t="s">
        <v>464</v>
      </c>
      <c r="F10" s="296" t="s">
        <v>54</v>
      </c>
      <c r="G10" s="296" t="s">
        <v>54</v>
      </c>
      <c r="H10" s="296">
        <v>40.189200091011429</v>
      </c>
      <c r="I10" s="296">
        <v>37.560176653254942</v>
      </c>
      <c r="J10" s="296">
        <v>37.364470701425006</v>
      </c>
      <c r="K10" s="296">
        <v>41.372244862706772</v>
      </c>
      <c r="L10" s="296">
        <v>41.87201508355448</v>
      </c>
      <c r="M10" s="296">
        <v>42.377822450186159</v>
      </c>
      <c r="N10" s="296">
        <v>42.889739890374805</v>
      </c>
      <c r="O10" s="296">
        <v>43.407841212849455</v>
      </c>
      <c r="P10" s="296">
        <v>43.932201117937012</v>
      </c>
      <c r="Q10" s="296">
        <v>44.46289520833259</v>
      </c>
      <c r="R10" s="296">
        <v>45</v>
      </c>
    </row>
    <row r="11" spans="2:18" ht="72" customHeight="1">
      <c r="B11" s="340"/>
      <c r="C11" s="338"/>
      <c r="D11" s="3" t="s">
        <v>13</v>
      </c>
      <c r="E11" s="17" t="s">
        <v>466</v>
      </c>
      <c r="F11" s="296">
        <v>27.24699258113127</v>
      </c>
      <c r="G11" s="296">
        <v>31.129976387552201</v>
      </c>
      <c r="H11" s="296">
        <v>34.349249524443522</v>
      </c>
      <c r="I11" s="296">
        <v>38.039099002018474</v>
      </c>
      <c r="J11" s="296">
        <v>44.560112749504604</v>
      </c>
      <c r="K11" s="296">
        <v>50.197874987574785</v>
      </c>
      <c r="L11" s="296">
        <v>51.493438418964118</v>
      </c>
      <c r="M11" s="296">
        <v>52.822439214089833</v>
      </c>
      <c r="N11" s="296">
        <v>54.18574036218623</v>
      </c>
      <c r="O11" s="296">
        <v>55.584227125488106</v>
      </c>
      <c r="P11" s="296">
        <v>57.018807614077431</v>
      </c>
      <c r="Q11" s="296">
        <v>58.490413375566483</v>
      </c>
      <c r="R11" s="296">
        <v>60</v>
      </c>
    </row>
    <row r="12" spans="2:18" ht="72" customHeight="1">
      <c r="B12" s="332" t="s">
        <v>14</v>
      </c>
      <c r="C12" s="330" t="s">
        <v>775</v>
      </c>
      <c r="D12" s="20" t="s">
        <v>15</v>
      </c>
      <c r="E12" s="21" t="s">
        <v>469</v>
      </c>
      <c r="F12" s="297">
        <v>3.1736788921652486</v>
      </c>
      <c r="G12" s="297">
        <v>3.6029022302158649</v>
      </c>
      <c r="H12" s="297">
        <v>3.0210887897995322</v>
      </c>
      <c r="I12" s="297">
        <v>3.628438854532734</v>
      </c>
      <c r="J12" s="297">
        <v>6.352183979795254</v>
      </c>
      <c r="K12" s="297">
        <v>5.5025959144795555</v>
      </c>
      <c r="L12" s="297">
        <v>5.8047711445993473</v>
      </c>
      <c r="M12" s="297">
        <v>6.1235403371174444</v>
      </c>
      <c r="N12" s="297">
        <v>6.4598147500081291</v>
      </c>
      <c r="O12" s="297">
        <v>6.8145556830063949</v>
      </c>
      <c r="P12" s="297">
        <v>7.1887772256528448</v>
      </c>
      <c r="Q12" s="297">
        <v>7.5835491562475363</v>
      </c>
      <c r="R12" s="297">
        <v>8</v>
      </c>
    </row>
    <row r="13" spans="2:18" ht="72" customHeight="1">
      <c r="B13" s="333"/>
      <c r="C13" s="331"/>
      <c r="D13" s="20" t="s">
        <v>16</v>
      </c>
      <c r="E13" s="21" t="s">
        <v>471</v>
      </c>
      <c r="F13" s="297">
        <v>14.444444444444446</v>
      </c>
      <c r="G13" s="297">
        <v>14.556962025316453</v>
      </c>
      <c r="H13" s="297">
        <v>24.087591240875913</v>
      </c>
      <c r="I13" s="297">
        <v>21.088435374149661</v>
      </c>
      <c r="J13" s="297">
        <v>17.741935483870964</v>
      </c>
      <c r="K13" s="297">
        <v>25.769230769230774</v>
      </c>
      <c r="L13" s="297">
        <v>26.774556045275762</v>
      </c>
      <c r="M13" s="297">
        <v>22.890281781809776</v>
      </c>
      <c r="N13" s="297">
        <v>24.919224344579494</v>
      </c>
      <c r="O13" s="297">
        <v>27.128007765677566</v>
      </c>
      <c r="P13" s="297">
        <v>29.53257273012769</v>
      </c>
      <c r="Q13" s="297">
        <v>32.150272869051491</v>
      </c>
      <c r="R13" s="297">
        <v>35</v>
      </c>
    </row>
    <row r="14" spans="2:18" ht="72" customHeight="1">
      <c r="B14" s="333"/>
      <c r="C14" s="331"/>
      <c r="D14" s="20" t="s">
        <v>17</v>
      </c>
      <c r="E14" s="21" t="s">
        <v>473</v>
      </c>
      <c r="F14" s="297">
        <v>13.007133303611235</v>
      </c>
      <c r="G14" s="297">
        <v>13.341796255157092</v>
      </c>
      <c r="H14" s="297">
        <v>18.680439368589511</v>
      </c>
      <c r="I14" s="297">
        <v>15.140224901774827</v>
      </c>
      <c r="J14" s="297">
        <v>7.8544676297485276</v>
      </c>
      <c r="K14" s="297">
        <v>8.8278695996934999</v>
      </c>
      <c r="L14" s="297">
        <v>9.9219050027057971</v>
      </c>
      <c r="M14" s="297">
        <v>11.151523906304218</v>
      </c>
      <c r="N14" s="297">
        <v>12.533529135681237</v>
      </c>
      <c r="O14" s="297">
        <v>14.086805885441731</v>
      </c>
      <c r="P14" s="297">
        <v>15.832579787060114</v>
      </c>
      <c r="Q14" s="297">
        <v>17.794706958565008</v>
      </c>
      <c r="R14" s="297">
        <v>20</v>
      </c>
    </row>
    <row r="15" spans="2:18" ht="72" customHeight="1">
      <c r="B15" s="332" t="s">
        <v>18</v>
      </c>
      <c r="C15" s="343" t="s">
        <v>776</v>
      </c>
      <c r="D15" s="19" t="s">
        <v>19</v>
      </c>
      <c r="E15" s="21" t="s">
        <v>475</v>
      </c>
      <c r="F15" s="297">
        <v>6.2778570804323124</v>
      </c>
      <c r="G15" s="297">
        <v>6.6826570724232122</v>
      </c>
      <c r="H15" s="297">
        <v>5.4220059736005393</v>
      </c>
      <c r="I15" s="297">
        <v>5.210896015851989</v>
      </c>
      <c r="J15" s="297">
        <v>4.929480360871449</v>
      </c>
      <c r="K15" s="297">
        <v>5.1703813361844455</v>
      </c>
      <c r="L15" s="297">
        <v>5.2814751789415766</v>
      </c>
      <c r="M15" s="297">
        <v>5.3949560490949597</v>
      </c>
      <c r="N15" s="297">
        <v>5.5108752357138115</v>
      </c>
      <c r="O15" s="297">
        <v>5.6292851298943347</v>
      </c>
      <c r="P15" s="297">
        <v>5.7502392484385272</v>
      </c>
      <c r="Q15" s="297">
        <v>5.8737922580417496</v>
      </c>
      <c r="R15" s="297">
        <v>6</v>
      </c>
    </row>
    <row r="16" spans="2:18" ht="72" customHeight="1">
      <c r="B16" s="333"/>
      <c r="C16" s="344"/>
      <c r="D16" s="19" t="s">
        <v>20</v>
      </c>
      <c r="E16" s="21" t="s">
        <v>477</v>
      </c>
      <c r="F16" s="297">
        <v>2.2999999999999998</v>
      </c>
      <c r="G16" s="297">
        <v>2.2000000000000002</v>
      </c>
      <c r="H16" s="297">
        <v>2.2000000000000002</v>
      </c>
      <c r="I16" s="297">
        <v>1.6</v>
      </c>
      <c r="J16" s="297">
        <v>2.1</v>
      </c>
      <c r="K16" s="297">
        <v>2.5523597240849094</v>
      </c>
      <c r="L16" s="297">
        <v>3.1021619814908541</v>
      </c>
      <c r="M16" s="297">
        <v>3.7703968091165199</v>
      </c>
      <c r="N16" s="297">
        <v>4.5825756949558398</v>
      </c>
      <c r="O16" s="297">
        <v>5.5697055411312855</v>
      </c>
      <c r="P16" s="297">
        <v>6.7694724277123983</v>
      </c>
      <c r="Q16" s="297">
        <v>8.2276803703792467</v>
      </c>
      <c r="R16" s="297">
        <v>10</v>
      </c>
    </row>
    <row r="17" spans="2:18" ht="72" customHeight="1">
      <c r="B17" s="333"/>
      <c r="C17" s="344"/>
      <c r="D17" s="19" t="s">
        <v>21</v>
      </c>
      <c r="E17" s="21" t="s">
        <v>480</v>
      </c>
      <c r="F17" s="297">
        <v>1.8</v>
      </c>
      <c r="G17" s="297">
        <v>1</v>
      </c>
      <c r="H17" s="297">
        <v>0.6</v>
      </c>
      <c r="I17" s="297">
        <v>0.2</v>
      </c>
      <c r="J17" s="297">
        <v>0.5</v>
      </c>
      <c r="K17" s="297">
        <v>0.66676071608166199</v>
      </c>
      <c r="L17" s="297">
        <v>0.88913970501946138</v>
      </c>
      <c r="M17" s="297">
        <v>1.1856868528308275</v>
      </c>
      <c r="N17" s="297">
        <v>1.5811388300841895</v>
      </c>
      <c r="O17" s="297">
        <v>2.1084825171429111</v>
      </c>
      <c r="P17" s="297">
        <v>2.8117066259517451</v>
      </c>
      <c r="Q17" s="297">
        <v>3.7494710466622787</v>
      </c>
      <c r="R17" s="297">
        <v>5</v>
      </c>
    </row>
    <row r="18" spans="2:18" ht="72" customHeight="1">
      <c r="B18" s="342"/>
      <c r="C18" s="345"/>
      <c r="D18" s="19" t="s">
        <v>22</v>
      </c>
      <c r="E18" s="21" t="s">
        <v>482</v>
      </c>
      <c r="F18" s="297" t="s">
        <v>54</v>
      </c>
      <c r="G18" s="297" t="s">
        <v>54</v>
      </c>
      <c r="H18" s="297" t="s">
        <v>54</v>
      </c>
      <c r="I18" s="297" t="s">
        <v>54</v>
      </c>
      <c r="J18" s="297" t="s">
        <v>54</v>
      </c>
      <c r="K18" s="297">
        <v>21.090162464124642</v>
      </c>
      <c r="L18" s="297">
        <v>23.109543321564541</v>
      </c>
      <c r="M18" s="297">
        <v>25.322279685598161</v>
      </c>
      <c r="N18" s="297">
        <v>27.746885325825907</v>
      </c>
      <c r="O18" s="297">
        <v>30.403646703357506</v>
      </c>
      <c r="P18" s="297">
        <v>33.314792705839196</v>
      </c>
      <c r="Q18" s="297">
        <v>36.504680634592162</v>
      </c>
      <c r="R18" s="297">
        <v>40</v>
      </c>
    </row>
    <row r="19" spans="2:18" ht="72" customHeight="1">
      <c r="B19" s="332" t="s">
        <v>23</v>
      </c>
      <c r="C19" s="330" t="s">
        <v>777</v>
      </c>
      <c r="D19" s="19" t="s">
        <v>24</v>
      </c>
      <c r="E19" s="21" t="s">
        <v>484</v>
      </c>
      <c r="F19" s="298">
        <v>155</v>
      </c>
      <c r="G19" s="298">
        <v>179</v>
      </c>
      <c r="H19" s="298">
        <v>171</v>
      </c>
      <c r="I19" s="298">
        <v>211</v>
      </c>
      <c r="J19" s="298">
        <v>333</v>
      </c>
      <c r="K19" s="298">
        <v>351</v>
      </c>
      <c r="L19" s="298">
        <v>369</v>
      </c>
      <c r="M19" s="298">
        <v>388</v>
      </c>
      <c r="N19" s="298">
        <v>409</v>
      </c>
      <c r="O19" s="298">
        <v>430</v>
      </c>
      <c r="P19" s="298">
        <v>452</v>
      </c>
      <c r="Q19" s="298">
        <v>476</v>
      </c>
      <c r="R19" s="298">
        <v>500</v>
      </c>
    </row>
    <row r="20" spans="2:18" ht="72" customHeight="1">
      <c r="B20" s="333"/>
      <c r="C20" s="331"/>
      <c r="D20" s="19" t="s">
        <v>25</v>
      </c>
      <c r="E20" s="21" t="s">
        <v>487</v>
      </c>
      <c r="F20" s="298" t="s">
        <v>54</v>
      </c>
      <c r="G20" s="298" t="s">
        <v>54</v>
      </c>
      <c r="H20" s="298" t="s">
        <v>54</v>
      </c>
      <c r="I20" s="297">
        <v>20.9</v>
      </c>
      <c r="J20" s="297">
        <v>12.8</v>
      </c>
      <c r="K20" s="297">
        <v>13.917179366662285</v>
      </c>
      <c r="L20" s="297">
        <v>15.131865744050817</v>
      </c>
      <c r="M20" s="297">
        <v>16.452569508766242</v>
      </c>
      <c r="N20" s="297">
        <v>17.888543819998326</v>
      </c>
      <c r="O20" s="297">
        <v>19.449849449321469</v>
      </c>
      <c r="P20" s="297">
        <v>21.147425268811297</v>
      </c>
      <c r="Q20" s="297">
        <v>22.99316489133853</v>
      </c>
      <c r="R20" s="297">
        <v>25</v>
      </c>
    </row>
    <row r="21" spans="2:18" ht="72" customHeight="1">
      <c r="B21" s="333"/>
      <c r="C21" s="341"/>
      <c r="D21" s="19" t="s">
        <v>26</v>
      </c>
      <c r="E21" s="21" t="s">
        <v>489</v>
      </c>
      <c r="F21" s="298" t="s">
        <v>54</v>
      </c>
      <c r="G21" s="298" t="s">
        <v>54</v>
      </c>
      <c r="H21" s="298" t="s">
        <v>54</v>
      </c>
      <c r="I21" s="297">
        <v>23.1</v>
      </c>
      <c r="J21" s="297">
        <v>13.6</v>
      </c>
      <c r="K21" s="297">
        <v>14.675369536467768</v>
      </c>
      <c r="L21" s="297">
        <v>15.835769928815159</v>
      </c>
      <c r="M21" s="297">
        <v>17.087924676459288</v>
      </c>
      <c r="N21" s="297">
        <v>18.439088914585767</v>
      </c>
      <c r="O21" s="297">
        <v>19.897091451274449</v>
      </c>
      <c r="P21" s="297">
        <v>21.470380128554872</v>
      </c>
      <c r="Q21" s="297">
        <v>23.168070770218904</v>
      </c>
      <c r="R21" s="297">
        <v>25</v>
      </c>
    </row>
    <row r="22" spans="2:18" ht="72" customHeight="1">
      <c r="B22" s="332" t="s">
        <v>27</v>
      </c>
      <c r="C22" s="330" t="s">
        <v>778</v>
      </c>
      <c r="D22" s="19" t="s">
        <v>28</v>
      </c>
      <c r="E22" s="21" t="s">
        <v>780</v>
      </c>
      <c r="F22" s="299">
        <v>0.29083031642408308</v>
      </c>
      <c r="G22" s="299">
        <v>0.23721971037742959</v>
      </c>
      <c r="H22" s="299">
        <v>0.28305110918102983</v>
      </c>
      <c r="I22" s="299">
        <v>0.24513934803803517</v>
      </c>
      <c r="J22" s="299">
        <v>0.16975297187652094</v>
      </c>
      <c r="K22" s="299">
        <v>0.14032326701192541</v>
      </c>
      <c r="L22" s="299">
        <v>0.18576688701897964</v>
      </c>
      <c r="M22" s="299">
        <v>0.24592740069107402</v>
      </c>
      <c r="N22" s="299">
        <v>0.32557086669858903</v>
      </c>
      <c r="O22" s="299">
        <v>0.43100682943426727</v>
      </c>
      <c r="P22" s="299">
        <v>0.57058817609427281</v>
      </c>
      <c r="Q22" s="299">
        <v>0.75537287222554694</v>
      </c>
      <c r="R22" s="299">
        <v>1</v>
      </c>
    </row>
    <row r="23" spans="2:18" ht="72" customHeight="1">
      <c r="B23" s="333"/>
      <c r="C23" s="331"/>
      <c r="D23" s="19" t="s">
        <v>29</v>
      </c>
      <c r="E23" s="21" t="s">
        <v>781</v>
      </c>
      <c r="F23" s="299" t="s">
        <v>54</v>
      </c>
      <c r="G23" s="299" t="s">
        <v>54</v>
      </c>
      <c r="H23" s="299" t="s">
        <v>54</v>
      </c>
      <c r="I23" s="299" t="s">
        <v>54</v>
      </c>
      <c r="J23" s="299" t="s">
        <v>54</v>
      </c>
      <c r="K23" s="299" t="s">
        <v>54</v>
      </c>
      <c r="L23" s="299" t="s">
        <v>54</v>
      </c>
      <c r="M23" s="299">
        <v>60</v>
      </c>
      <c r="N23" s="299">
        <v>99.783967787045526</v>
      </c>
      <c r="O23" s="299">
        <v>85.276931682078001</v>
      </c>
      <c r="P23" s="299">
        <v>93.577678619384812</v>
      </c>
      <c r="Q23" s="299">
        <v>85.246099421485837</v>
      </c>
      <c r="R23" s="299">
        <v>90</v>
      </c>
    </row>
    <row r="24" spans="2:18" ht="72" customHeight="1">
      <c r="B24" s="333"/>
      <c r="C24" s="331"/>
      <c r="D24" s="19" t="s">
        <v>30</v>
      </c>
      <c r="E24" s="21" t="s">
        <v>782</v>
      </c>
      <c r="F24" s="299" t="s">
        <v>54</v>
      </c>
      <c r="G24" s="299" t="s">
        <v>54</v>
      </c>
      <c r="H24" s="299" t="s">
        <v>54</v>
      </c>
      <c r="I24" s="299" t="s">
        <v>54</v>
      </c>
      <c r="J24" s="299" t="s">
        <v>54</v>
      </c>
      <c r="K24" s="299" t="s">
        <v>54</v>
      </c>
      <c r="L24" s="299" t="s">
        <v>54</v>
      </c>
      <c r="M24" s="299">
        <v>5</v>
      </c>
      <c r="N24" s="299">
        <v>5</v>
      </c>
      <c r="O24" s="299">
        <v>5</v>
      </c>
      <c r="P24" s="299">
        <v>5</v>
      </c>
      <c r="Q24" s="299">
        <v>5</v>
      </c>
      <c r="R24" s="299">
        <v>5</v>
      </c>
    </row>
    <row r="25" spans="2:18" ht="72" customHeight="1">
      <c r="B25" s="333"/>
      <c r="C25" s="331"/>
      <c r="D25" s="19" t="s">
        <v>31</v>
      </c>
      <c r="E25" s="21" t="s">
        <v>783</v>
      </c>
      <c r="F25" s="299" t="s">
        <v>54</v>
      </c>
      <c r="G25" s="299" t="s">
        <v>54</v>
      </c>
      <c r="H25" s="299" t="s">
        <v>54</v>
      </c>
      <c r="I25" s="299" t="s">
        <v>54</v>
      </c>
      <c r="J25" s="299" t="s">
        <v>54</v>
      </c>
      <c r="K25" s="299" t="s">
        <v>54</v>
      </c>
      <c r="L25" s="299" t="s">
        <v>54</v>
      </c>
      <c r="M25" s="299">
        <v>1.5</v>
      </c>
      <c r="N25" s="299">
        <v>1.6</v>
      </c>
      <c r="O25" s="299">
        <v>1.7000000000000002</v>
      </c>
      <c r="P25" s="299">
        <v>1.8</v>
      </c>
      <c r="Q25" s="299">
        <v>1.9</v>
      </c>
      <c r="R25" s="299">
        <v>2</v>
      </c>
    </row>
    <row r="26" spans="2:18" ht="72" customHeight="1">
      <c r="B26" s="19" t="s">
        <v>32</v>
      </c>
      <c r="C26" s="300" t="s">
        <v>779</v>
      </c>
      <c r="D26" s="294" t="s">
        <v>33</v>
      </c>
      <c r="E26" s="168" t="s">
        <v>492</v>
      </c>
      <c r="F26" s="299" t="s">
        <v>54</v>
      </c>
      <c r="G26" s="299" t="s">
        <v>54</v>
      </c>
      <c r="H26" s="299">
        <v>3.0116666666666667</v>
      </c>
      <c r="I26" s="299" t="s">
        <v>54</v>
      </c>
      <c r="J26" s="299" t="s">
        <v>54</v>
      </c>
      <c r="K26" s="299" t="s">
        <v>54</v>
      </c>
      <c r="L26" s="299">
        <v>3.1</v>
      </c>
      <c r="M26" s="299">
        <v>3.1833333333333336</v>
      </c>
      <c r="N26" s="299">
        <v>3.2666666666666671</v>
      </c>
      <c r="O26" s="299">
        <v>3.3500000000000005</v>
      </c>
      <c r="P26" s="299">
        <v>3.4333333333333336</v>
      </c>
      <c r="Q26" s="299">
        <v>3.5166666666666666</v>
      </c>
      <c r="R26" s="299">
        <v>3.6</v>
      </c>
    </row>
  </sheetData>
  <mergeCells count="13">
    <mergeCell ref="C19:C21"/>
    <mergeCell ref="B19:B21"/>
    <mergeCell ref="B15:B18"/>
    <mergeCell ref="C15:C18"/>
    <mergeCell ref="B22:B25"/>
    <mergeCell ref="C22:C25"/>
    <mergeCell ref="F2:L2"/>
    <mergeCell ref="M2:R2"/>
    <mergeCell ref="C12:C14"/>
    <mergeCell ref="B12:B14"/>
    <mergeCell ref="D2:E2"/>
    <mergeCell ref="C4:C11"/>
    <mergeCell ref="B4:B11"/>
  </mergeCells>
  <phoneticPr fontId="27" type="noConversion"/>
  <pageMargins left="0.7" right="0.7" top="0.75" bottom="0.75" header="0.3" footer="0.3"/>
  <pageSetup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2AF1-BACF-4296-8CD0-1E676BACBF7F}">
  <sheetPr codeName="Sheet5"/>
  <dimension ref="B2:R86"/>
  <sheetViews>
    <sheetView zoomScale="48" zoomScaleNormal="55" workbookViewId="0">
      <pane ySplit="3" topLeftCell="A19" activePane="bottomLeft" state="frozen"/>
      <selection activeCell="C12" sqref="C12:C14"/>
      <selection pane="bottomLeft" activeCell="D24" sqref="B2:R85"/>
    </sheetView>
  </sheetViews>
  <sheetFormatPr defaultColWidth="8.88671875" defaultRowHeight="18"/>
  <cols>
    <col min="1" max="1" width="5.33203125" style="1" customWidth="1"/>
    <col min="2" max="2" width="43.6640625" style="1" customWidth="1"/>
    <col min="3" max="3" width="14.6640625" style="1" customWidth="1"/>
    <col min="4" max="4" width="63.109375" style="4" customWidth="1"/>
    <col min="5" max="5" width="106.33203125" style="303" customWidth="1"/>
    <col min="6" max="6" width="10.33203125" style="4" customWidth="1"/>
    <col min="7" max="7" width="60.6640625" style="1" customWidth="1"/>
    <col min="8" max="8" width="16.109375" style="1" bestFit="1" customWidth="1"/>
    <col min="9" max="9" width="13.5546875" style="1" bestFit="1" customWidth="1"/>
    <col min="10" max="10" width="13.6640625" style="1" bestFit="1" customWidth="1"/>
    <col min="11" max="13" width="14.5546875" style="1" bestFit="1" customWidth="1"/>
    <col min="14" max="14" width="61.109375" style="1" hidden="1" customWidth="1"/>
    <col min="15" max="15" width="19.44140625" style="1" customWidth="1"/>
    <col min="16" max="16" width="28.44140625" style="1" customWidth="1"/>
    <col min="17" max="17" width="19" style="1" customWidth="1"/>
    <col min="18" max="18" width="21.6640625" style="1" customWidth="1"/>
    <col min="19" max="16384" width="8.88671875" style="1"/>
  </cols>
  <sheetData>
    <row r="2" spans="2:18">
      <c r="B2" s="11" t="s">
        <v>34</v>
      </c>
      <c r="C2" s="11" t="s">
        <v>0</v>
      </c>
      <c r="D2" s="12" t="s">
        <v>35</v>
      </c>
      <c r="E2" s="12" t="s">
        <v>36</v>
      </c>
      <c r="F2" s="328" t="s">
        <v>37</v>
      </c>
      <c r="G2" s="329"/>
      <c r="H2" s="145"/>
      <c r="I2" s="145"/>
      <c r="J2" s="145"/>
      <c r="K2" s="145"/>
      <c r="L2" s="145"/>
      <c r="M2" s="144"/>
      <c r="N2" s="13" t="s">
        <v>38</v>
      </c>
      <c r="O2" s="13" t="s">
        <v>39</v>
      </c>
      <c r="P2" s="13" t="s">
        <v>40</v>
      </c>
      <c r="Q2" s="13" t="s">
        <v>41</v>
      </c>
      <c r="R2" s="13" t="s">
        <v>42</v>
      </c>
    </row>
    <row r="3" spans="2:18">
      <c r="B3" s="10"/>
      <c r="C3" s="10"/>
      <c r="D3" s="10"/>
      <c r="E3" s="301"/>
      <c r="F3" s="10"/>
      <c r="G3" s="10"/>
      <c r="H3" s="136">
        <v>2025</v>
      </c>
      <c r="I3" s="136">
        <v>2026</v>
      </c>
      <c r="J3" s="136">
        <v>2027</v>
      </c>
      <c r="K3" s="136">
        <v>2028</v>
      </c>
      <c r="L3" s="136">
        <v>2029</v>
      </c>
      <c r="M3" s="136">
        <v>2030</v>
      </c>
      <c r="N3" s="10"/>
      <c r="O3" s="10"/>
      <c r="P3" s="10"/>
      <c r="Q3" s="10"/>
      <c r="R3" s="10"/>
    </row>
    <row r="4" spans="2:18" ht="20.399999999999999">
      <c r="B4" s="150" t="s">
        <v>784</v>
      </c>
      <c r="C4" s="151"/>
      <c r="D4" s="146"/>
      <c r="E4" s="302"/>
      <c r="F4" s="26"/>
      <c r="G4" s="24"/>
      <c r="H4" s="24"/>
      <c r="I4" s="24"/>
      <c r="J4" s="24"/>
      <c r="K4" s="24"/>
      <c r="L4" s="24"/>
      <c r="M4" s="24"/>
      <c r="N4" s="24"/>
      <c r="O4" s="24"/>
      <c r="P4" s="24"/>
      <c r="Q4" s="24"/>
      <c r="R4" s="24"/>
    </row>
    <row r="5" spans="2:18" ht="76.2" customHeight="1">
      <c r="B5" s="347" t="s">
        <v>775</v>
      </c>
      <c r="C5" s="350" t="s">
        <v>43</v>
      </c>
      <c r="D5" s="353" t="s">
        <v>786</v>
      </c>
      <c r="E5" s="353" t="s">
        <v>44</v>
      </c>
      <c r="F5" s="10" t="s">
        <v>45</v>
      </c>
      <c r="G5" s="22" t="s">
        <v>46</v>
      </c>
      <c r="H5" s="149">
        <v>5</v>
      </c>
      <c r="I5" s="153">
        <v>10</v>
      </c>
      <c r="J5" s="153">
        <v>20</v>
      </c>
      <c r="K5" s="153">
        <v>20</v>
      </c>
      <c r="L5" s="153">
        <v>20</v>
      </c>
      <c r="M5" s="153">
        <v>20</v>
      </c>
      <c r="N5" s="14"/>
      <c r="O5" s="350" t="s">
        <v>47</v>
      </c>
      <c r="P5" s="350" t="s">
        <v>844</v>
      </c>
      <c r="Q5" s="350">
        <v>2025</v>
      </c>
      <c r="R5" s="350">
        <v>2030</v>
      </c>
    </row>
    <row r="6" spans="2:18" ht="57.6" customHeight="1">
      <c r="B6" s="347"/>
      <c r="C6" s="351"/>
      <c r="D6" s="354"/>
      <c r="E6" s="354"/>
      <c r="F6" s="10" t="s">
        <v>48</v>
      </c>
      <c r="G6" s="22" t="s">
        <v>49</v>
      </c>
      <c r="H6" s="148">
        <v>0.5</v>
      </c>
      <c r="I6" s="154">
        <v>1</v>
      </c>
      <c r="J6" s="154">
        <v>1</v>
      </c>
      <c r="K6" s="154">
        <v>1</v>
      </c>
      <c r="L6" s="154">
        <v>1</v>
      </c>
      <c r="M6" s="154">
        <v>1</v>
      </c>
      <c r="N6" s="14"/>
      <c r="O6" s="351"/>
      <c r="P6" s="351"/>
      <c r="Q6" s="351"/>
      <c r="R6" s="351"/>
    </row>
    <row r="7" spans="2:18" ht="57.6" customHeight="1">
      <c r="B7" s="347"/>
      <c r="C7" s="351"/>
      <c r="D7" s="354"/>
      <c r="E7" s="354"/>
      <c r="F7" s="10" t="s">
        <v>50</v>
      </c>
      <c r="G7" s="23" t="s">
        <v>51</v>
      </c>
      <c r="H7" s="149">
        <v>100</v>
      </c>
      <c r="I7" s="153">
        <v>200</v>
      </c>
      <c r="J7" s="153">
        <v>400</v>
      </c>
      <c r="K7" s="153">
        <v>400</v>
      </c>
      <c r="L7" s="153">
        <v>400</v>
      </c>
      <c r="M7" s="153">
        <v>400</v>
      </c>
      <c r="N7" s="14"/>
      <c r="O7" s="351"/>
      <c r="P7" s="351"/>
      <c r="Q7" s="351"/>
      <c r="R7" s="351"/>
    </row>
    <row r="8" spans="2:18" ht="57.6" customHeight="1">
      <c r="B8" s="347"/>
      <c r="C8" s="351"/>
      <c r="D8" s="354"/>
      <c r="E8" s="354"/>
      <c r="F8" s="10" t="s">
        <v>52</v>
      </c>
      <c r="G8" s="23" t="s">
        <v>53</v>
      </c>
      <c r="H8" s="149" t="s">
        <v>54</v>
      </c>
      <c r="I8" s="155">
        <v>0.5</v>
      </c>
      <c r="J8" s="155">
        <v>0.5</v>
      </c>
      <c r="K8" s="155">
        <v>0.5</v>
      </c>
      <c r="L8" s="155">
        <v>0.5</v>
      </c>
      <c r="M8" s="155">
        <v>0.5</v>
      </c>
      <c r="N8" s="14"/>
      <c r="O8" s="351"/>
      <c r="P8" s="351"/>
      <c r="Q8" s="351"/>
      <c r="R8" s="351"/>
    </row>
    <row r="9" spans="2:18" ht="57.6" customHeight="1">
      <c r="B9" s="347"/>
      <c r="C9" s="351"/>
      <c r="D9" s="354"/>
      <c r="E9" s="354"/>
      <c r="F9" s="10" t="s">
        <v>55</v>
      </c>
      <c r="G9" s="23" t="s">
        <v>56</v>
      </c>
      <c r="H9" s="149" t="s">
        <v>54</v>
      </c>
      <c r="I9" s="155">
        <v>0.3</v>
      </c>
      <c r="J9" s="155">
        <v>0.3</v>
      </c>
      <c r="K9" s="155">
        <v>0.3</v>
      </c>
      <c r="L9" s="155">
        <v>0.3</v>
      </c>
      <c r="M9" s="155">
        <v>0.3</v>
      </c>
      <c r="N9" s="14"/>
      <c r="O9" s="351"/>
      <c r="P9" s="351"/>
      <c r="Q9" s="351"/>
      <c r="R9" s="351"/>
    </row>
    <row r="10" spans="2:18" ht="57.6" customHeight="1">
      <c r="B10" s="347"/>
      <c r="C10" s="351"/>
      <c r="D10" s="354"/>
      <c r="E10" s="354"/>
      <c r="F10" s="10" t="s">
        <v>57</v>
      </c>
      <c r="G10" s="22" t="s">
        <v>58</v>
      </c>
      <c r="H10" s="152">
        <v>125</v>
      </c>
      <c r="I10" s="152">
        <v>250</v>
      </c>
      <c r="J10" s="152">
        <v>500</v>
      </c>
      <c r="K10" s="152">
        <v>500</v>
      </c>
      <c r="L10" s="152">
        <v>500</v>
      </c>
      <c r="M10" s="152">
        <v>500</v>
      </c>
      <c r="N10" s="14"/>
      <c r="O10" s="351"/>
      <c r="P10" s="351"/>
      <c r="Q10" s="351"/>
      <c r="R10" s="351"/>
    </row>
    <row r="11" spans="2:18" ht="41.4" customHeight="1">
      <c r="B11" s="347"/>
      <c r="C11" s="351"/>
      <c r="D11" s="354"/>
      <c r="E11" s="354"/>
      <c r="F11" s="10" t="s">
        <v>59</v>
      </c>
      <c r="G11" s="22" t="s">
        <v>60</v>
      </c>
      <c r="H11" s="152">
        <v>5</v>
      </c>
      <c r="I11" s="152">
        <v>10</v>
      </c>
      <c r="J11" s="152">
        <v>10</v>
      </c>
      <c r="K11" s="152">
        <v>10</v>
      </c>
      <c r="L11" s="152">
        <v>5</v>
      </c>
      <c r="M11" s="152">
        <v>5</v>
      </c>
      <c r="N11" s="14"/>
      <c r="O11" s="351"/>
      <c r="P11" s="351"/>
      <c r="Q11" s="351"/>
      <c r="R11" s="351"/>
    </row>
    <row r="12" spans="2:18" ht="156.6" customHeight="1">
      <c r="B12" s="347"/>
      <c r="C12" s="10" t="s">
        <v>61</v>
      </c>
      <c r="D12" s="22" t="s">
        <v>62</v>
      </c>
      <c r="E12" s="22" t="s">
        <v>63</v>
      </c>
      <c r="F12" s="10" t="s">
        <v>64</v>
      </c>
      <c r="G12" s="22" t="s">
        <v>65</v>
      </c>
      <c r="H12" s="149">
        <v>45</v>
      </c>
      <c r="I12" s="153">
        <v>90</v>
      </c>
      <c r="J12" s="153">
        <v>180</v>
      </c>
      <c r="K12" s="153">
        <v>180</v>
      </c>
      <c r="L12" s="153">
        <v>180</v>
      </c>
      <c r="M12" s="153">
        <v>180</v>
      </c>
      <c r="N12" s="153">
        <v>0</v>
      </c>
      <c r="O12" s="10" t="s">
        <v>47</v>
      </c>
      <c r="P12" s="10" t="s">
        <v>66</v>
      </c>
      <c r="Q12" s="10">
        <v>2025</v>
      </c>
      <c r="R12" s="10">
        <v>2030</v>
      </c>
    </row>
    <row r="13" spans="2:18" ht="82.2" customHeight="1">
      <c r="B13" s="347"/>
      <c r="C13" s="10" t="s">
        <v>67</v>
      </c>
      <c r="D13" s="22" t="s">
        <v>68</v>
      </c>
      <c r="E13" s="23" t="s">
        <v>842</v>
      </c>
      <c r="F13" s="10" t="s">
        <v>69</v>
      </c>
      <c r="G13" s="22" t="s">
        <v>70</v>
      </c>
      <c r="H13" s="149">
        <v>36</v>
      </c>
      <c r="I13" s="156">
        <v>72</v>
      </c>
      <c r="J13" s="156">
        <v>144</v>
      </c>
      <c r="K13" s="156">
        <v>144</v>
      </c>
      <c r="L13" s="156">
        <v>144</v>
      </c>
      <c r="M13" s="156">
        <v>144</v>
      </c>
      <c r="N13" s="23"/>
      <c r="O13" s="14" t="s">
        <v>47</v>
      </c>
      <c r="P13" s="14" t="s">
        <v>66</v>
      </c>
      <c r="Q13" s="14">
        <v>2025</v>
      </c>
      <c r="R13" s="14">
        <v>2030</v>
      </c>
    </row>
    <row r="14" spans="2:18" ht="108.6" customHeight="1">
      <c r="B14" s="348"/>
      <c r="C14" s="10" t="s">
        <v>71</v>
      </c>
      <c r="D14" s="22" t="s">
        <v>72</v>
      </c>
      <c r="E14" s="23" t="s">
        <v>843</v>
      </c>
      <c r="F14" s="14" t="s">
        <v>73</v>
      </c>
      <c r="G14" s="22" t="s">
        <v>74</v>
      </c>
      <c r="H14" s="149">
        <v>4.9999999999999991</v>
      </c>
      <c r="I14" s="153">
        <v>9.9999999999999982</v>
      </c>
      <c r="J14" s="153">
        <v>19.999999999999996</v>
      </c>
      <c r="K14" s="153">
        <v>19.999999999999996</v>
      </c>
      <c r="L14" s="153">
        <v>19.999999999999996</v>
      </c>
      <c r="M14" s="153">
        <v>19.999999999999996</v>
      </c>
      <c r="N14" s="23"/>
      <c r="O14" s="14" t="s">
        <v>47</v>
      </c>
      <c r="P14" s="14" t="s">
        <v>66</v>
      </c>
      <c r="Q14" s="14">
        <v>2025</v>
      </c>
      <c r="R14" s="14">
        <v>2030</v>
      </c>
    </row>
    <row r="15" spans="2:18" ht="20.399999999999999">
      <c r="B15" s="150" t="s">
        <v>785</v>
      </c>
      <c r="C15" s="25"/>
      <c r="D15" s="25"/>
      <c r="E15" s="307"/>
      <c r="F15" s="26"/>
      <c r="G15" s="25"/>
      <c r="H15" s="25"/>
      <c r="I15" s="25"/>
      <c r="J15" s="25"/>
      <c r="K15" s="25"/>
      <c r="L15" s="25"/>
      <c r="M15" s="25"/>
      <c r="N15" s="25"/>
      <c r="O15" s="25"/>
      <c r="P15" s="25"/>
      <c r="Q15" s="25"/>
      <c r="R15" s="25"/>
    </row>
    <row r="16" spans="2:18" ht="51" customHeight="1">
      <c r="B16" s="347" t="s">
        <v>775</v>
      </c>
      <c r="C16" s="350" t="s">
        <v>75</v>
      </c>
      <c r="D16" s="353" t="s">
        <v>76</v>
      </c>
      <c r="E16" s="353" t="s">
        <v>77</v>
      </c>
      <c r="F16" s="14" t="s">
        <v>78</v>
      </c>
      <c r="G16" s="23" t="s">
        <v>79</v>
      </c>
      <c r="H16" s="156">
        <v>3</v>
      </c>
      <c r="I16" s="156">
        <v>5</v>
      </c>
      <c r="J16" s="156">
        <v>5</v>
      </c>
      <c r="K16" s="156">
        <v>10</v>
      </c>
      <c r="L16" s="156">
        <v>10</v>
      </c>
      <c r="M16" s="156">
        <v>10</v>
      </c>
      <c r="N16" s="23"/>
      <c r="O16" s="350" t="s">
        <v>47</v>
      </c>
      <c r="P16" s="350" t="s">
        <v>66</v>
      </c>
      <c r="Q16" s="350">
        <v>2025</v>
      </c>
      <c r="R16" s="350">
        <v>2030</v>
      </c>
    </row>
    <row r="17" spans="2:18" ht="51" customHeight="1">
      <c r="B17" s="347"/>
      <c r="C17" s="351"/>
      <c r="D17" s="354"/>
      <c r="E17" s="354"/>
      <c r="F17" s="14" t="s">
        <v>80</v>
      </c>
      <c r="G17" s="23" t="s">
        <v>81</v>
      </c>
      <c r="H17" s="137">
        <v>500</v>
      </c>
      <c r="I17" s="137">
        <v>600</v>
      </c>
      <c r="J17" s="137">
        <v>720</v>
      </c>
      <c r="K17" s="137">
        <v>860</v>
      </c>
      <c r="L17" s="137">
        <v>1030</v>
      </c>
      <c r="M17" s="137">
        <v>1240</v>
      </c>
      <c r="N17" s="23"/>
      <c r="O17" s="351"/>
      <c r="P17" s="351"/>
      <c r="Q17" s="351"/>
      <c r="R17" s="351"/>
    </row>
    <row r="18" spans="2:18" ht="51" customHeight="1">
      <c r="B18" s="347"/>
      <c r="C18" s="351"/>
      <c r="D18" s="354"/>
      <c r="E18" s="354"/>
      <c r="F18" s="14" t="s">
        <v>82</v>
      </c>
      <c r="G18" s="23" t="s">
        <v>83</v>
      </c>
      <c r="H18" s="159">
        <v>100</v>
      </c>
      <c r="I18" s="159">
        <v>120</v>
      </c>
      <c r="J18" s="159">
        <v>140</v>
      </c>
      <c r="K18" s="159">
        <v>170</v>
      </c>
      <c r="L18" s="159">
        <v>200</v>
      </c>
      <c r="M18" s="159">
        <v>240</v>
      </c>
      <c r="N18" s="23"/>
      <c r="O18" s="351"/>
      <c r="P18" s="351"/>
      <c r="Q18" s="351"/>
      <c r="R18" s="351"/>
    </row>
    <row r="19" spans="2:18" ht="81.599999999999994" customHeight="1">
      <c r="B19" s="347"/>
      <c r="C19" s="352"/>
      <c r="D19" s="355"/>
      <c r="E19" s="355"/>
      <c r="F19" s="14" t="s">
        <v>84</v>
      </c>
      <c r="G19" s="23" t="s">
        <v>85</v>
      </c>
      <c r="H19" s="157">
        <v>90000</v>
      </c>
      <c r="I19" s="157">
        <v>164000</v>
      </c>
      <c r="J19" s="157">
        <v>188000</v>
      </c>
      <c r="K19" s="157">
        <v>366000</v>
      </c>
      <c r="L19" s="157">
        <v>421000</v>
      </c>
      <c r="M19" s="157">
        <v>484000</v>
      </c>
      <c r="N19" s="157">
        <v>219000</v>
      </c>
      <c r="O19" s="352"/>
      <c r="P19" s="352"/>
      <c r="Q19" s="352"/>
      <c r="R19" s="352"/>
    </row>
    <row r="20" spans="2:18" ht="51" customHeight="1">
      <c r="B20" s="347"/>
      <c r="C20" s="350" t="s">
        <v>86</v>
      </c>
      <c r="D20" s="353" t="s">
        <v>87</v>
      </c>
      <c r="E20" s="353" t="s">
        <v>88</v>
      </c>
      <c r="F20" s="14" t="s">
        <v>89</v>
      </c>
      <c r="G20" s="23" t="s">
        <v>90</v>
      </c>
      <c r="H20" s="153">
        <v>5</v>
      </c>
      <c r="I20" s="153">
        <v>10</v>
      </c>
      <c r="J20" s="153">
        <v>10</v>
      </c>
      <c r="K20" s="153">
        <v>10</v>
      </c>
      <c r="L20" s="153">
        <v>10</v>
      </c>
      <c r="M20" s="153">
        <v>10</v>
      </c>
      <c r="N20" s="23"/>
      <c r="O20" s="350" t="s">
        <v>47</v>
      </c>
      <c r="P20" s="350" t="s">
        <v>844</v>
      </c>
      <c r="Q20" s="350">
        <v>2025</v>
      </c>
      <c r="R20" s="350">
        <v>2030</v>
      </c>
    </row>
    <row r="21" spans="2:18" ht="51" customHeight="1">
      <c r="B21" s="347"/>
      <c r="C21" s="351"/>
      <c r="D21" s="354"/>
      <c r="E21" s="354"/>
      <c r="F21" s="14" t="s">
        <v>91</v>
      </c>
      <c r="G21" s="23" t="s">
        <v>92</v>
      </c>
      <c r="H21" s="157">
        <v>250</v>
      </c>
      <c r="I21" s="157">
        <v>500</v>
      </c>
      <c r="J21" s="157">
        <v>550</v>
      </c>
      <c r="K21" s="157">
        <v>550</v>
      </c>
      <c r="L21" s="157">
        <v>600</v>
      </c>
      <c r="M21" s="157">
        <v>600</v>
      </c>
      <c r="N21" s="23"/>
      <c r="O21" s="351"/>
      <c r="P21" s="351"/>
      <c r="Q21" s="351"/>
      <c r="R21" s="351"/>
    </row>
    <row r="22" spans="2:18" ht="51" customHeight="1">
      <c r="B22" s="347"/>
      <c r="C22" s="351"/>
      <c r="D22" s="354"/>
      <c r="E22" s="354"/>
      <c r="F22" s="14" t="s">
        <v>93</v>
      </c>
      <c r="G22" s="23" t="s">
        <v>94</v>
      </c>
      <c r="H22" s="153">
        <v>5</v>
      </c>
      <c r="I22" s="153">
        <v>10</v>
      </c>
      <c r="J22" s="153">
        <v>10</v>
      </c>
      <c r="K22" s="153">
        <v>10</v>
      </c>
      <c r="L22" s="153">
        <v>10</v>
      </c>
      <c r="M22" s="153">
        <v>10</v>
      </c>
      <c r="N22" s="23"/>
      <c r="O22" s="351"/>
      <c r="P22" s="351"/>
      <c r="Q22" s="351"/>
      <c r="R22" s="351"/>
    </row>
    <row r="23" spans="2:18" ht="51" customHeight="1">
      <c r="B23" s="347"/>
      <c r="C23" s="352"/>
      <c r="D23" s="355"/>
      <c r="E23" s="355"/>
      <c r="F23" s="14" t="s">
        <v>95</v>
      </c>
      <c r="G23" s="23" t="s">
        <v>96</v>
      </c>
      <c r="H23" s="157">
        <v>500</v>
      </c>
      <c r="I23" s="157">
        <v>1000</v>
      </c>
      <c r="J23" s="157">
        <v>1000</v>
      </c>
      <c r="K23" s="157">
        <v>1000</v>
      </c>
      <c r="L23" s="157">
        <v>1000</v>
      </c>
      <c r="M23" s="157">
        <v>1000</v>
      </c>
      <c r="N23" s="23"/>
      <c r="O23" s="352"/>
      <c r="P23" s="352"/>
      <c r="Q23" s="352"/>
      <c r="R23" s="352"/>
    </row>
    <row r="24" spans="2:18" ht="42.6" customHeight="1">
      <c r="B24" s="347"/>
      <c r="C24" s="350" t="s">
        <v>97</v>
      </c>
      <c r="D24" s="353" t="s">
        <v>98</v>
      </c>
      <c r="E24" s="353" t="s">
        <v>99</v>
      </c>
      <c r="F24" s="14" t="s">
        <v>100</v>
      </c>
      <c r="G24" s="23" t="s">
        <v>101</v>
      </c>
      <c r="H24" s="157">
        <v>5</v>
      </c>
      <c r="I24" s="157">
        <v>10</v>
      </c>
      <c r="J24" s="157">
        <v>20</v>
      </c>
      <c r="K24" s="157">
        <v>20</v>
      </c>
      <c r="L24" s="157">
        <v>20</v>
      </c>
      <c r="M24" s="157">
        <v>20</v>
      </c>
      <c r="N24" s="23"/>
      <c r="O24" s="350" t="s">
        <v>47</v>
      </c>
      <c r="P24" s="350" t="s">
        <v>844</v>
      </c>
      <c r="Q24" s="350">
        <v>2025</v>
      </c>
      <c r="R24" s="350">
        <v>2030</v>
      </c>
    </row>
    <row r="25" spans="2:18" ht="42.6" customHeight="1">
      <c r="B25" s="347"/>
      <c r="C25" s="351"/>
      <c r="D25" s="354"/>
      <c r="E25" s="354"/>
      <c r="F25" s="14" t="s">
        <v>102</v>
      </c>
      <c r="G25" s="23" t="s">
        <v>103</v>
      </c>
      <c r="H25" s="157">
        <v>150</v>
      </c>
      <c r="I25" s="157">
        <v>300</v>
      </c>
      <c r="J25" s="157">
        <v>600</v>
      </c>
      <c r="K25" s="157">
        <v>600</v>
      </c>
      <c r="L25" s="157">
        <v>600</v>
      </c>
      <c r="M25" s="157">
        <v>600</v>
      </c>
      <c r="N25" s="23"/>
      <c r="O25" s="351"/>
      <c r="P25" s="351"/>
      <c r="Q25" s="351"/>
      <c r="R25" s="351"/>
    </row>
    <row r="26" spans="2:18" ht="42.6" customHeight="1">
      <c r="B26" s="347"/>
      <c r="C26" s="351"/>
      <c r="D26" s="354"/>
      <c r="E26" s="354"/>
      <c r="F26" s="14" t="s">
        <v>104</v>
      </c>
      <c r="G26" s="22" t="s">
        <v>105</v>
      </c>
      <c r="H26" s="154">
        <v>0.5</v>
      </c>
      <c r="I26" s="154">
        <v>1</v>
      </c>
      <c r="J26" s="154">
        <v>1</v>
      </c>
      <c r="K26" s="154">
        <v>1</v>
      </c>
      <c r="L26" s="154">
        <v>1</v>
      </c>
      <c r="M26" s="154">
        <v>1</v>
      </c>
      <c r="N26" s="23"/>
      <c r="O26" s="351"/>
      <c r="P26" s="351"/>
      <c r="Q26" s="351"/>
      <c r="R26" s="351"/>
    </row>
    <row r="27" spans="2:18" ht="42.6" customHeight="1">
      <c r="B27" s="347"/>
      <c r="C27" s="351"/>
      <c r="D27" s="354"/>
      <c r="E27" s="354"/>
      <c r="F27" s="14" t="s">
        <v>106</v>
      </c>
      <c r="G27" s="23" t="s">
        <v>107</v>
      </c>
      <c r="H27" s="154">
        <v>0.5</v>
      </c>
      <c r="I27" s="154">
        <v>0.5</v>
      </c>
      <c r="J27" s="154">
        <v>0.5</v>
      </c>
      <c r="K27" s="154">
        <v>0.4</v>
      </c>
      <c r="L27" s="154">
        <v>0.4</v>
      </c>
      <c r="M27" s="154">
        <v>0.4</v>
      </c>
      <c r="N27" s="23"/>
      <c r="O27" s="351"/>
      <c r="P27" s="351"/>
      <c r="Q27" s="351"/>
      <c r="R27" s="351"/>
    </row>
    <row r="28" spans="2:18" ht="42.6" customHeight="1">
      <c r="B28" s="347"/>
      <c r="C28" s="346" t="s">
        <v>108</v>
      </c>
      <c r="D28" s="359" t="s">
        <v>845</v>
      </c>
      <c r="E28" s="359" t="s">
        <v>846</v>
      </c>
      <c r="F28" s="14" t="s">
        <v>109</v>
      </c>
      <c r="G28" s="23" t="s">
        <v>110</v>
      </c>
      <c r="H28" s="304" t="s">
        <v>54</v>
      </c>
      <c r="I28" s="304" t="s">
        <v>111</v>
      </c>
      <c r="J28" s="304" t="s">
        <v>111</v>
      </c>
      <c r="K28" s="304" t="s">
        <v>111</v>
      </c>
      <c r="L28" s="304" t="s">
        <v>111</v>
      </c>
      <c r="M28" s="304" t="s">
        <v>111</v>
      </c>
      <c r="N28" s="23"/>
      <c r="O28" s="346" t="s">
        <v>66</v>
      </c>
      <c r="P28" s="346" t="s">
        <v>112</v>
      </c>
      <c r="Q28" s="346">
        <v>2026</v>
      </c>
      <c r="R28" s="346">
        <v>2030</v>
      </c>
    </row>
    <row r="29" spans="2:18" ht="42.6" customHeight="1">
      <c r="B29" s="347"/>
      <c r="C29" s="346"/>
      <c r="D29" s="359"/>
      <c r="E29" s="359"/>
      <c r="F29" s="14" t="s">
        <v>113</v>
      </c>
      <c r="G29" s="23" t="s">
        <v>114</v>
      </c>
      <c r="H29" s="304" t="s">
        <v>54</v>
      </c>
      <c r="I29" s="304" t="s">
        <v>54</v>
      </c>
      <c r="J29" s="304" t="s">
        <v>111</v>
      </c>
      <c r="K29" s="304" t="s">
        <v>111</v>
      </c>
      <c r="L29" s="304" t="s">
        <v>111</v>
      </c>
      <c r="M29" s="304" t="s">
        <v>111</v>
      </c>
      <c r="N29" s="23"/>
      <c r="O29" s="346"/>
      <c r="P29" s="346"/>
      <c r="Q29" s="346"/>
      <c r="R29" s="346"/>
    </row>
    <row r="30" spans="2:18" ht="20.399999999999999">
      <c r="B30" s="25" t="s">
        <v>115</v>
      </c>
      <c r="C30" s="25"/>
      <c r="D30" s="25"/>
      <c r="E30" s="307"/>
      <c r="F30" s="158"/>
      <c r="G30" s="25"/>
      <c r="H30" s="25"/>
      <c r="I30" s="25"/>
      <c r="J30" s="25"/>
      <c r="K30" s="25"/>
      <c r="L30" s="25"/>
      <c r="M30" s="25"/>
      <c r="N30" s="25"/>
      <c r="O30" s="25"/>
      <c r="P30" s="25"/>
      <c r="Q30" s="25"/>
      <c r="R30" s="25"/>
    </row>
    <row r="31" spans="2:18" ht="46.8">
      <c r="B31" s="347" t="s">
        <v>776</v>
      </c>
      <c r="C31" s="350" t="s">
        <v>116</v>
      </c>
      <c r="D31" s="353" t="s">
        <v>117</v>
      </c>
      <c r="E31" s="353" t="s">
        <v>118</v>
      </c>
      <c r="F31" s="14" t="s">
        <v>119</v>
      </c>
      <c r="G31" s="23" t="s">
        <v>120</v>
      </c>
      <c r="H31" s="28" t="s">
        <v>54</v>
      </c>
      <c r="I31" s="156">
        <v>229.99999999999997</v>
      </c>
      <c r="J31" s="156">
        <v>345</v>
      </c>
      <c r="K31" s="156">
        <v>517.5</v>
      </c>
      <c r="L31" s="156">
        <v>776.24999999999989</v>
      </c>
      <c r="M31" s="156">
        <v>1092.5</v>
      </c>
      <c r="N31" s="23"/>
      <c r="O31" s="350" t="s">
        <v>47</v>
      </c>
      <c r="P31" s="350" t="s">
        <v>66</v>
      </c>
      <c r="Q31" s="350">
        <v>2025</v>
      </c>
      <c r="R31" s="350">
        <v>2030</v>
      </c>
    </row>
    <row r="32" spans="2:18" ht="242.4" customHeight="1">
      <c r="B32" s="347"/>
      <c r="C32" s="352"/>
      <c r="D32" s="355"/>
      <c r="E32" s="355"/>
      <c r="F32" s="14" t="s">
        <v>121</v>
      </c>
      <c r="G32" s="23" t="s">
        <v>122</v>
      </c>
      <c r="H32" s="28">
        <v>130</v>
      </c>
      <c r="I32" s="156">
        <v>200</v>
      </c>
      <c r="J32" s="156">
        <v>300</v>
      </c>
      <c r="K32" s="156">
        <v>450</v>
      </c>
      <c r="L32" s="156">
        <v>675</v>
      </c>
      <c r="M32" s="156">
        <v>950</v>
      </c>
      <c r="N32" s="23"/>
      <c r="O32" s="352"/>
      <c r="P32" s="352"/>
      <c r="Q32" s="352"/>
      <c r="R32" s="352"/>
    </row>
    <row r="33" spans="2:18" ht="232.2" customHeight="1">
      <c r="B33" s="347"/>
      <c r="C33" s="10" t="s">
        <v>123</v>
      </c>
      <c r="D33" s="22" t="s">
        <v>124</v>
      </c>
      <c r="E33" s="22" t="s">
        <v>125</v>
      </c>
      <c r="F33" s="14" t="s">
        <v>126</v>
      </c>
      <c r="G33" s="23" t="s">
        <v>127</v>
      </c>
      <c r="H33" s="28">
        <v>104</v>
      </c>
      <c r="I33" s="156">
        <v>160</v>
      </c>
      <c r="J33" s="156">
        <v>240</v>
      </c>
      <c r="K33" s="156">
        <v>360</v>
      </c>
      <c r="L33" s="156">
        <v>540</v>
      </c>
      <c r="M33" s="156">
        <v>760</v>
      </c>
      <c r="N33" s="156">
        <v>0</v>
      </c>
      <c r="O33" s="10" t="s">
        <v>47</v>
      </c>
      <c r="P33" s="10" t="s">
        <v>66</v>
      </c>
      <c r="Q33" s="10">
        <v>2025</v>
      </c>
      <c r="R33" s="10">
        <v>2030</v>
      </c>
    </row>
    <row r="34" spans="2:18" ht="20.399999999999999">
      <c r="B34" s="25" t="s">
        <v>787</v>
      </c>
      <c r="C34" s="25"/>
      <c r="D34" s="25"/>
      <c r="E34" s="307"/>
      <c r="F34" s="158"/>
      <c r="G34" s="25"/>
      <c r="H34" s="25"/>
      <c r="I34" s="25"/>
      <c r="J34" s="25"/>
      <c r="K34" s="25"/>
      <c r="L34" s="25"/>
      <c r="M34" s="25"/>
      <c r="N34" s="25"/>
      <c r="O34" s="25"/>
      <c r="P34" s="25"/>
      <c r="Q34" s="25"/>
      <c r="R34" s="25"/>
    </row>
    <row r="35" spans="2:18" ht="50.4" customHeight="1">
      <c r="B35" s="349" t="s">
        <v>776</v>
      </c>
      <c r="C35" s="350" t="s">
        <v>128</v>
      </c>
      <c r="D35" s="353" t="s">
        <v>129</v>
      </c>
      <c r="E35" s="353" t="s">
        <v>130</v>
      </c>
      <c r="F35" s="14" t="s">
        <v>131</v>
      </c>
      <c r="G35" s="23" t="s">
        <v>132</v>
      </c>
      <c r="H35" s="156">
        <v>124.8</v>
      </c>
      <c r="I35" s="156">
        <v>192</v>
      </c>
      <c r="J35" s="156">
        <v>288</v>
      </c>
      <c r="K35" s="156">
        <v>432</v>
      </c>
      <c r="L35" s="156">
        <v>648</v>
      </c>
      <c r="M35" s="156">
        <v>912</v>
      </c>
      <c r="N35" s="23"/>
      <c r="O35" s="350" t="s">
        <v>47</v>
      </c>
      <c r="P35" s="350" t="s">
        <v>66</v>
      </c>
      <c r="Q35" s="350">
        <v>2025</v>
      </c>
      <c r="R35" s="350">
        <v>2030</v>
      </c>
    </row>
    <row r="36" spans="2:18" ht="68.400000000000006" customHeight="1">
      <c r="B36" s="347"/>
      <c r="C36" s="352"/>
      <c r="D36" s="355"/>
      <c r="E36" s="355"/>
      <c r="F36" s="14" t="s">
        <v>133</v>
      </c>
      <c r="G36" s="23" t="s">
        <v>134</v>
      </c>
      <c r="H36" s="156">
        <v>249.6</v>
      </c>
      <c r="I36" s="156">
        <v>384</v>
      </c>
      <c r="J36" s="156">
        <v>576</v>
      </c>
      <c r="K36" s="156">
        <v>864</v>
      </c>
      <c r="L36" s="156">
        <v>1296</v>
      </c>
      <c r="M36" s="156">
        <v>1824</v>
      </c>
      <c r="N36" s="156">
        <v>0</v>
      </c>
      <c r="O36" s="352"/>
      <c r="P36" s="352"/>
      <c r="Q36" s="352"/>
      <c r="R36" s="352"/>
    </row>
    <row r="37" spans="2:18" ht="79.95" customHeight="1">
      <c r="B37" s="347"/>
      <c r="C37" s="356" t="s">
        <v>135</v>
      </c>
      <c r="D37" s="360" t="s">
        <v>136</v>
      </c>
      <c r="E37" s="360" t="s">
        <v>841</v>
      </c>
      <c r="F37" s="14" t="s">
        <v>137</v>
      </c>
      <c r="G37" s="23" t="s">
        <v>138</v>
      </c>
      <c r="H37" s="153">
        <v>2</v>
      </c>
      <c r="I37" s="153">
        <v>2</v>
      </c>
      <c r="J37" s="153">
        <v>2</v>
      </c>
      <c r="K37" s="153">
        <v>2</v>
      </c>
      <c r="L37" s="153">
        <v>2</v>
      </c>
      <c r="M37" s="153">
        <v>2</v>
      </c>
      <c r="N37" s="23"/>
      <c r="O37" s="350" t="s">
        <v>47</v>
      </c>
      <c r="P37" s="350" t="s">
        <v>66</v>
      </c>
      <c r="Q37" s="350">
        <v>2025</v>
      </c>
      <c r="R37" s="350">
        <v>2030</v>
      </c>
    </row>
    <row r="38" spans="2:18" ht="50.4" customHeight="1">
      <c r="B38" s="347"/>
      <c r="C38" s="357"/>
      <c r="D38" s="361"/>
      <c r="E38" s="361"/>
      <c r="F38" s="14" t="s">
        <v>139</v>
      </c>
      <c r="G38" s="23" t="s">
        <v>140</v>
      </c>
      <c r="H38" s="153">
        <v>300</v>
      </c>
      <c r="I38" s="153">
        <v>300</v>
      </c>
      <c r="J38" s="153">
        <v>300</v>
      </c>
      <c r="K38" s="153">
        <v>300</v>
      </c>
      <c r="L38" s="153">
        <v>300</v>
      </c>
      <c r="M38" s="153">
        <v>300</v>
      </c>
      <c r="N38" s="23"/>
      <c r="O38" s="351"/>
      <c r="P38" s="351"/>
      <c r="Q38" s="351"/>
      <c r="R38" s="351"/>
    </row>
    <row r="39" spans="2:18" ht="50.4" customHeight="1">
      <c r="B39" s="347"/>
      <c r="C39" s="357"/>
      <c r="D39" s="361"/>
      <c r="E39" s="361"/>
      <c r="F39" s="14" t="s">
        <v>141</v>
      </c>
      <c r="G39" s="23" t="s">
        <v>142</v>
      </c>
      <c r="H39" s="153">
        <v>4</v>
      </c>
      <c r="I39" s="153">
        <v>4</v>
      </c>
      <c r="J39" s="153">
        <v>4</v>
      </c>
      <c r="K39" s="153">
        <v>4</v>
      </c>
      <c r="L39" s="153">
        <v>4</v>
      </c>
      <c r="M39" s="153">
        <v>4</v>
      </c>
      <c r="N39" s="23"/>
      <c r="O39" s="351"/>
      <c r="P39" s="351"/>
      <c r="Q39" s="351"/>
      <c r="R39" s="351"/>
    </row>
    <row r="40" spans="2:18" ht="57" customHeight="1">
      <c r="B40" s="347"/>
      <c r="C40" s="358"/>
      <c r="D40" s="362"/>
      <c r="E40" s="362"/>
      <c r="F40" s="14" t="s">
        <v>143</v>
      </c>
      <c r="G40" s="23" t="s">
        <v>144</v>
      </c>
      <c r="H40" s="153">
        <v>200</v>
      </c>
      <c r="I40" s="153">
        <v>200</v>
      </c>
      <c r="J40" s="153">
        <v>200</v>
      </c>
      <c r="K40" s="153">
        <v>200</v>
      </c>
      <c r="L40" s="153">
        <v>200</v>
      </c>
      <c r="M40" s="153">
        <v>200</v>
      </c>
      <c r="N40" s="23"/>
      <c r="O40" s="352"/>
      <c r="P40" s="352"/>
      <c r="Q40" s="352"/>
      <c r="R40" s="352"/>
    </row>
    <row r="41" spans="2:18" ht="96" customHeight="1">
      <c r="B41" s="347"/>
      <c r="C41" s="350" t="s">
        <v>145</v>
      </c>
      <c r="D41" s="360" t="s">
        <v>146</v>
      </c>
      <c r="E41" s="353" t="s">
        <v>147</v>
      </c>
      <c r="F41" s="14" t="s">
        <v>148</v>
      </c>
      <c r="G41" s="23" t="s">
        <v>149</v>
      </c>
      <c r="H41" s="153">
        <v>3</v>
      </c>
      <c r="I41" s="153">
        <v>10</v>
      </c>
      <c r="J41" s="153">
        <v>10</v>
      </c>
      <c r="K41" s="153">
        <v>10</v>
      </c>
      <c r="L41" s="153">
        <v>20</v>
      </c>
      <c r="M41" s="153">
        <v>20</v>
      </c>
      <c r="N41" s="23"/>
      <c r="O41" s="350" t="s">
        <v>47</v>
      </c>
      <c r="P41" s="350" t="s">
        <v>66</v>
      </c>
      <c r="Q41" s="350">
        <v>2025</v>
      </c>
      <c r="R41" s="350">
        <v>2030</v>
      </c>
    </row>
    <row r="42" spans="2:18" ht="96" customHeight="1">
      <c r="B42" s="347"/>
      <c r="C42" s="351"/>
      <c r="D42" s="361"/>
      <c r="E42" s="354"/>
      <c r="F42" s="14" t="s">
        <v>150</v>
      </c>
      <c r="G42" s="23" t="s">
        <v>151</v>
      </c>
      <c r="H42" s="154">
        <v>0.3</v>
      </c>
      <c r="I42" s="154">
        <v>0.5</v>
      </c>
      <c r="J42" s="154">
        <v>0.5</v>
      </c>
      <c r="K42" s="154">
        <v>0.75</v>
      </c>
      <c r="L42" s="154">
        <v>1</v>
      </c>
      <c r="M42" s="154">
        <v>1</v>
      </c>
      <c r="N42" s="23"/>
      <c r="O42" s="351"/>
      <c r="P42" s="351"/>
      <c r="Q42" s="351"/>
      <c r="R42" s="351"/>
    </row>
    <row r="43" spans="2:18" ht="96" customHeight="1">
      <c r="B43" s="348"/>
      <c r="C43" s="352"/>
      <c r="D43" s="362"/>
      <c r="E43" s="355"/>
      <c r="F43" s="14" t="s">
        <v>152</v>
      </c>
      <c r="G43" s="23" t="s">
        <v>153</v>
      </c>
      <c r="H43" s="153">
        <v>9</v>
      </c>
      <c r="I43" s="153">
        <v>30</v>
      </c>
      <c r="J43" s="153">
        <v>30</v>
      </c>
      <c r="K43" s="153">
        <v>30</v>
      </c>
      <c r="L43" s="153">
        <v>60</v>
      </c>
      <c r="M43" s="153">
        <v>60</v>
      </c>
      <c r="N43" s="23"/>
      <c r="O43" s="352"/>
      <c r="P43" s="352"/>
      <c r="Q43" s="352"/>
      <c r="R43" s="352"/>
    </row>
    <row r="44" spans="2:18" ht="20.399999999999999">
      <c r="B44" s="25" t="s">
        <v>154</v>
      </c>
      <c r="C44" s="25"/>
      <c r="D44" s="25"/>
      <c r="E44" s="307"/>
      <c r="F44" s="158"/>
      <c r="G44" s="25"/>
      <c r="H44" s="25"/>
      <c r="I44" s="25"/>
      <c r="J44" s="25"/>
      <c r="K44" s="25"/>
      <c r="L44" s="25"/>
      <c r="M44" s="25"/>
      <c r="N44" s="25"/>
      <c r="O44" s="25"/>
      <c r="P44" s="25"/>
      <c r="Q44" s="25"/>
      <c r="R44" s="25"/>
    </row>
    <row r="45" spans="2:18" ht="58.2" customHeight="1">
      <c r="B45" s="347" t="s">
        <v>777</v>
      </c>
      <c r="C45" s="350" t="s">
        <v>155</v>
      </c>
      <c r="D45" s="353" t="s">
        <v>156</v>
      </c>
      <c r="E45" s="353" t="s">
        <v>157</v>
      </c>
      <c r="F45" s="14" t="s">
        <v>158</v>
      </c>
      <c r="G45" s="23" t="s">
        <v>159</v>
      </c>
      <c r="H45" s="28">
        <v>5</v>
      </c>
      <c r="I45" s="156">
        <v>20</v>
      </c>
      <c r="J45" s="156">
        <v>50</v>
      </c>
      <c r="K45" s="156">
        <v>70</v>
      </c>
      <c r="L45" s="156">
        <v>80</v>
      </c>
      <c r="M45" s="156">
        <v>100</v>
      </c>
      <c r="N45" s="23"/>
      <c r="O45" s="350" t="s">
        <v>47</v>
      </c>
      <c r="P45" s="350" t="s">
        <v>66</v>
      </c>
      <c r="Q45" s="350">
        <v>2025</v>
      </c>
      <c r="R45" s="350">
        <v>2030</v>
      </c>
    </row>
    <row r="46" spans="2:18" ht="82.95" customHeight="1">
      <c r="B46" s="347"/>
      <c r="C46" s="351"/>
      <c r="D46" s="354"/>
      <c r="E46" s="354"/>
      <c r="F46" s="14" t="s">
        <v>160</v>
      </c>
      <c r="G46" s="23" t="s">
        <v>161</v>
      </c>
      <c r="H46" s="28">
        <v>2.5</v>
      </c>
      <c r="I46" s="156">
        <v>10</v>
      </c>
      <c r="J46" s="156">
        <v>25</v>
      </c>
      <c r="K46" s="156">
        <v>35</v>
      </c>
      <c r="L46" s="156">
        <v>40</v>
      </c>
      <c r="M46" s="156">
        <v>50</v>
      </c>
      <c r="N46" s="156">
        <v>0</v>
      </c>
      <c r="O46" s="351"/>
      <c r="P46" s="351"/>
      <c r="Q46" s="351"/>
      <c r="R46" s="351"/>
    </row>
    <row r="47" spans="2:18" ht="124.95" customHeight="1">
      <c r="B47" s="347"/>
      <c r="C47" s="352"/>
      <c r="D47" s="355"/>
      <c r="E47" s="355"/>
      <c r="F47" s="14" t="s">
        <v>162</v>
      </c>
      <c r="G47" s="23" t="s">
        <v>163</v>
      </c>
      <c r="H47" s="28">
        <v>2.5</v>
      </c>
      <c r="I47" s="156">
        <v>10</v>
      </c>
      <c r="J47" s="156">
        <v>25</v>
      </c>
      <c r="K47" s="156">
        <v>35</v>
      </c>
      <c r="L47" s="156">
        <v>40</v>
      </c>
      <c r="M47" s="156">
        <v>50</v>
      </c>
      <c r="N47" s="156">
        <v>0</v>
      </c>
      <c r="O47" s="352"/>
      <c r="P47" s="352"/>
      <c r="Q47" s="352"/>
      <c r="R47" s="352"/>
    </row>
    <row r="48" spans="2:18" ht="168.6" customHeight="1">
      <c r="B48" s="347"/>
      <c r="C48" s="10" t="s">
        <v>164</v>
      </c>
      <c r="D48" s="23" t="s">
        <v>165</v>
      </c>
      <c r="E48" s="23" t="s">
        <v>166</v>
      </c>
      <c r="F48" s="14" t="s">
        <v>167</v>
      </c>
      <c r="G48" s="23" t="s">
        <v>168</v>
      </c>
      <c r="H48" s="28">
        <v>10</v>
      </c>
      <c r="I48" s="153">
        <v>10</v>
      </c>
      <c r="J48" s="153">
        <v>40</v>
      </c>
      <c r="K48" s="153">
        <v>100</v>
      </c>
      <c r="L48" s="153">
        <v>140</v>
      </c>
      <c r="M48" s="153">
        <v>160</v>
      </c>
      <c r="N48" s="23"/>
      <c r="O48" s="14" t="s">
        <v>47</v>
      </c>
      <c r="P48" s="14" t="s">
        <v>66</v>
      </c>
      <c r="Q48" s="14">
        <v>2025</v>
      </c>
      <c r="R48" s="14">
        <v>2030</v>
      </c>
    </row>
    <row r="49" spans="2:18" ht="20.399999999999999">
      <c r="B49" s="25" t="s">
        <v>169</v>
      </c>
      <c r="C49" s="25"/>
      <c r="D49" s="25"/>
      <c r="E49" s="307"/>
      <c r="F49" s="158"/>
      <c r="G49" s="25"/>
      <c r="H49" s="25"/>
      <c r="I49" s="25"/>
      <c r="J49" s="25"/>
      <c r="K49" s="25"/>
      <c r="L49" s="25"/>
      <c r="M49" s="25"/>
      <c r="N49" s="25"/>
      <c r="O49" s="25"/>
      <c r="P49" s="25"/>
      <c r="Q49" s="25"/>
      <c r="R49" s="25"/>
    </row>
    <row r="50" spans="2:18" ht="49.8" customHeight="1">
      <c r="B50" s="349" t="s">
        <v>777</v>
      </c>
      <c r="C50" s="350" t="s">
        <v>170</v>
      </c>
      <c r="D50" s="353" t="s">
        <v>171</v>
      </c>
      <c r="E50" s="353" t="s">
        <v>172</v>
      </c>
      <c r="F50" s="14" t="s">
        <v>173</v>
      </c>
      <c r="G50" s="23" t="s">
        <v>174</v>
      </c>
      <c r="H50" s="153">
        <v>4</v>
      </c>
      <c r="I50" s="153">
        <v>4</v>
      </c>
      <c r="J50" s="153">
        <v>4</v>
      </c>
      <c r="K50" s="153">
        <v>4</v>
      </c>
      <c r="L50" s="153">
        <v>4</v>
      </c>
      <c r="M50" s="153">
        <v>4</v>
      </c>
      <c r="N50" s="23"/>
      <c r="O50" s="350" t="s">
        <v>47</v>
      </c>
      <c r="P50" s="350" t="s">
        <v>66</v>
      </c>
      <c r="Q50" s="350">
        <v>2025</v>
      </c>
      <c r="R50" s="350">
        <v>2030</v>
      </c>
    </row>
    <row r="51" spans="2:18" ht="49.8" customHeight="1">
      <c r="B51" s="347"/>
      <c r="C51" s="351"/>
      <c r="D51" s="354"/>
      <c r="E51" s="354"/>
      <c r="F51" s="14" t="s">
        <v>175</v>
      </c>
      <c r="G51" s="23" t="s">
        <v>176</v>
      </c>
      <c r="H51" s="153">
        <v>200</v>
      </c>
      <c r="I51" s="153">
        <v>200</v>
      </c>
      <c r="J51" s="153">
        <v>200</v>
      </c>
      <c r="K51" s="153">
        <v>200</v>
      </c>
      <c r="L51" s="153">
        <v>200</v>
      </c>
      <c r="M51" s="153">
        <v>200</v>
      </c>
      <c r="N51" s="23"/>
      <c r="O51" s="351"/>
      <c r="P51" s="351"/>
      <c r="Q51" s="351"/>
      <c r="R51" s="351"/>
    </row>
    <row r="52" spans="2:18" ht="49.8" customHeight="1">
      <c r="B52" s="347"/>
      <c r="C52" s="351"/>
      <c r="D52" s="354"/>
      <c r="E52" s="354"/>
      <c r="F52" s="14" t="s">
        <v>177</v>
      </c>
      <c r="G52" s="23" t="s">
        <v>178</v>
      </c>
      <c r="H52" s="153">
        <v>2</v>
      </c>
      <c r="I52" s="156">
        <v>3</v>
      </c>
      <c r="J52" s="156">
        <v>4.5</v>
      </c>
      <c r="K52" s="156">
        <v>6.75</v>
      </c>
      <c r="L52" s="156">
        <v>10.125</v>
      </c>
      <c r="M52" s="156">
        <v>15.1875</v>
      </c>
      <c r="N52" s="156">
        <v>22.78125</v>
      </c>
      <c r="O52" s="351"/>
      <c r="P52" s="351"/>
      <c r="Q52" s="351"/>
      <c r="R52" s="351"/>
    </row>
    <row r="53" spans="2:18" ht="49.8" customHeight="1">
      <c r="B53" s="347"/>
      <c r="C53" s="352"/>
      <c r="D53" s="355"/>
      <c r="E53" s="355"/>
      <c r="F53" s="14" t="s">
        <v>179</v>
      </c>
      <c r="G53" s="16" t="s">
        <v>180</v>
      </c>
      <c r="H53" s="157">
        <v>300</v>
      </c>
      <c r="I53" s="157">
        <v>450</v>
      </c>
      <c r="J53" s="157">
        <v>680</v>
      </c>
      <c r="K53" s="157">
        <v>1010</v>
      </c>
      <c r="L53" s="157">
        <v>1520</v>
      </c>
      <c r="M53" s="157">
        <v>2280</v>
      </c>
      <c r="N53" s="23"/>
      <c r="O53" s="352"/>
      <c r="P53" s="352"/>
      <c r="Q53" s="352"/>
      <c r="R53" s="352"/>
    </row>
    <row r="54" spans="2:18" ht="115.2" customHeight="1">
      <c r="B54" s="347"/>
      <c r="C54" s="10" t="s">
        <v>181</v>
      </c>
      <c r="D54" s="310" t="s">
        <v>182</v>
      </c>
      <c r="E54" s="22" t="s">
        <v>183</v>
      </c>
      <c r="F54" s="14" t="s">
        <v>184</v>
      </c>
      <c r="G54" s="23" t="s">
        <v>185</v>
      </c>
      <c r="H54" s="164">
        <v>5.5</v>
      </c>
      <c r="I54" s="164">
        <v>22</v>
      </c>
      <c r="J54" s="164">
        <v>55.000000000000007</v>
      </c>
      <c r="K54" s="164">
        <v>77</v>
      </c>
      <c r="L54" s="164">
        <v>88</v>
      </c>
      <c r="M54" s="164">
        <v>110.00000000000001</v>
      </c>
      <c r="N54" s="164">
        <v>0</v>
      </c>
      <c r="O54" s="10" t="s">
        <v>47</v>
      </c>
      <c r="P54" s="10" t="s">
        <v>66</v>
      </c>
      <c r="Q54" s="10">
        <v>2025</v>
      </c>
      <c r="R54" s="10">
        <v>2030</v>
      </c>
    </row>
    <row r="55" spans="2:18" ht="20.399999999999999">
      <c r="B55" s="25" t="s">
        <v>788</v>
      </c>
      <c r="C55" s="25"/>
      <c r="D55" s="25"/>
      <c r="E55" s="307"/>
      <c r="F55" s="158"/>
      <c r="G55" s="25"/>
      <c r="H55" s="25"/>
      <c r="I55" s="25"/>
      <c r="J55" s="25"/>
      <c r="K55" s="25"/>
      <c r="L55" s="25"/>
      <c r="M55" s="25"/>
      <c r="N55" s="25"/>
      <c r="O55" s="25"/>
      <c r="P55" s="25"/>
      <c r="Q55" s="25"/>
      <c r="R55" s="25"/>
    </row>
    <row r="56" spans="2:18" ht="127.95" customHeight="1">
      <c r="B56" s="349" t="s">
        <v>778</v>
      </c>
      <c r="C56" s="10" t="s">
        <v>186</v>
      </c>
      <c r="D56" s="23" t="s">
        <v>789</v>
      </c>
      <c r="E56" s="23" t="s">
        <v>790</v>
      </c>
      <c r="F56" s="14" t="s">
        <v>187</v>
      </c>
      <c r="G56" s="23" t="s">
        <v>188</v>
      </c>
      <c r="H56" s="165" t="s">
        <v>111</v>
      </c>
      <c r="I56" s="28" t="s">
        <v>54</v>
      </c>
      <c r="J56" s="28" t="s">
        <v>54</v>
      </c>
      <c r="K56" s="28" t="s">
        <v>54</v>
      </c>
      <c r="L56" s="28" t="s">
        <v>54</v>
      </c>
      <c r="M56" s="28" t="s">
        <v>54</v>
      </c>
      <c r="N56" s="156">
        <v>2.5</v>
      </c>
      <c r="O56" s="14" t="s">
        <v>189</v>
      </c>
      <c r="P56" s="14" t="s">
        <v>190</v>
      </c>
      <c r="Q56" s="14">
        <v>2025</v>
      </c>
      <c r="R56" s="14">
        <v>2026</v>
      </c>
    </row>
    <row r="57" spans="2:18" ht="127.95" customHeight="1">
      <c r="B57" s="347"/>
      <c r="C57" s="10" t="s">
        <v>191</v>
      </c>
      <c r="D57" s="22" t="s">
        <v>192</v>
      </c>
      <c r="E57" s="22" t="s">
        <v>193</v>
      </c>
      <c r="F57" s="14" t="s">
        <v>194</v>
      </c>
      <c r="G57" s="23" t="s">
        <v>195</v>
      </c>
      <c r="H57" s="153">
        <v>70</v>
      </c>
      <c r="I57" s="153">
        <v>80</v>
      </c>
      <c r="J57" s="153">
        <v>90</v>
      </c>
      <c r="K57" s="153">
        <v>100</v>
      </c>
      <c r="L57" s="153">
        <v>120</v>
      </c>
      <c r="M57" s="153">
        <v>140</v>
      </c>
      <c r="N57" s="23"/>
      <c r="O57" s="14" t="s">
        <v>189</v>
      </c>
      <c r="P57" s="14" t="s">
        <v>190</v>
      </c>
      <c r="Q57" s="10">
        <v>2025</v>
      </c>
      <c r="R57" s="10">
        <v>2030</v>
      </c>
    </row>
    <row r="58" spans="2:18" ht="127.95" customHeight="1">
      <c r="B58" s="347"/>
      <c r="C58" s="350" t="s">
        <v>196</v>
      </c>
      <c r="D58" s="353" t="s">
        <v>197</v>
      </c>
      <c r="E58" s="353" t="s">
        <v>839</v>
      </c>
      <c r="F58" s="14" t="s">
        <v>198</v>
      </c>
      <c r="G58" s="23" t="s">
        <v>199</v>
      </c>
      <c r="H58" s="166">
        <v>33000</v>
      </c>
      <c r="I58" s="166">
        <v>41250</v>
      </c>
      <c r="J58" s="166">
        <v>51560</v>
      </c>
      <c r="K58" s="166">
        <v>64450</v>
      </c>
      <c r="L58" s="166">
        <v>80560</v>
      </c>
      <c r="M58" s="166">
        <v>100700</v>
      </c>
      <c r="N58" s="353"/>
      <c r="O58" s="350" t="s">
        <v>189</v>
      </c>
      <c r="P58" s="350" t="s">
        <v>66</v>
      </c>
      <c r="Q58" s="350">
        <v>2025</v>
      </c>
      <c r="R58" s="350">
        <v>2030</v>
      </c>
    </row>
    <row r="59" spans="2:18" ht="127.95" customHeight="1">
      <c r="B59" s="347"/>
      <c r="C59" s="351"/>
      <c r="D59" s="354"/>
      <c r="E59" s="354"/>
      <c r="F59" s="14" t="s">
        <v>200</v>
      </c>
      <c r="G59" s="23" t="s">
        <v>201</v>
      </c>
      <c r="H59" s="154">
        <v>0.15</v>
      </c>
      <c r="I59" s="154">
        <v>0.18</v>
      </c>
      <c r="J59" s="154">
        <v>0.216</v>
      </c>
      <c r="K59" s="154">
        <v>0.25919999999999999</v>
      </c>
      <c r="L59" s="154">
        <v>0.31103999999999998</v>
      </c>
      <c r="M59" s="154">
        <v>0.37324799999999997</v>
      </c>
      <c r="N59" s="354"/>
      <c r="O59" s="351"/>
      <c r="P59" s="351"/>
      <c r="Q59" s="351"/>
      <c r="R59" s="351"/>
    </row>
    <row r="60" spans="2:18" ht="127.95" customHeight="1">
      <c r="B60" s="347"/>
      <c r="C60" s="351"/>
      <c r="D60" s="354"/>
      <c r="E60" s="354"/>
      <c r="F60" s="14" t="s">
        <v>202</v>
      </c>
      <c r="G60" s="23" t="s">
        <v>203</v>
      </c>
      <c r="H60" s="153">
        <v>3</v>
      </c>
      <c r="I60" s="153">
        <v>2</v>
      </c>
      <c r="J60" s="153">
        <v>2</v>
      </c>
      <c r="K60" s="153">
        <v>1</v>
      </c>
      <c r="L60" s="153">
        <v>1</v>
      </c>
      <c r="M60" s="153">
        <v>1</v>
      </c>
      <c r="N60" s="354"/>
      <c r="O60" s="351"/>
      <c r="P60" s="351"/>
      <c r="Q60" s="351"/>
      <c r="R60" s="351"/>
    </row>
    <row r="61" spans="2:18" ht="127.95" customHeight="1">
      <c r="B61" s="347"/>
      <c r="C61" s="352"/>
      <c r="D61" s="355"/>
      <c r="E61" s="355"/>
      <c r="F61" s="14" t="s">
        <v>204</v>
      </c>
      <c r="G61" s="23" t="s">
        <v>205</v>
      </c>
      <c r="H61" s="157">
        <v>11000</v>
      </c>
      <c r="I61" s="157">
        <v>14000</v>
      </c>
      <c r="J61" s="157">
        <v>11000</v>
      </c>
      <c r="K61" s="157">
        <v>11000</v>
      </c>
      <c r="L61" s="157">
        <v>6000</v>
      </c>
      <c r="M61" s="157">
        <v>6000</v>
      </c>
      <c r="N61" s="355"/>
      <c r="O61" s="352"/>
      <c r="P61" s="352"/>
      <c r="Q61" s="352"/>
      <c r="R61" s="352"/>
    </row>
    <row r="62" spans="2:18" ht="127.95" customHeight="1">
      <c r="B62" s="347"/>
      <c r="C62" s="350" t="s">
        <v>206</v>
      </c>
      <c r="D62" s="353" t="s">
        <v>207</v>
      </c>
      <c r="E62" s="353" t="s">
        <v>208</v>
      </c>
      <c r="F62" s="14" t="s">
        <v>209</v>
      </c>
      <c r="G62" s="23" t="s">
        <v>210</v>
      </c>
      <c r="H62" s="153">
        <v>120</v>
      </c>
      <c r="I62" s="28" t="s">
        <v>54</v>
      </c>
      <c r="J62" s="28" t="s">
        <v>54</v>
      </c>
      <c r="K62" s="28" t="s">
        <v>54</v>
      </c>
      <c r="L62" s="28" t="s">
        <v>54</v>
      </c>
      <c r="M62" s="28" t="s">
        <v>54</v>
      </c>
      <c r="N62" s="23"/>
      <c r="O62" s="350" t="s">
        <v>47</v>
      </c>
      <c r="P62" s="350" t="s">
        <v>66</v>
      </c>
      <c r="Q62" s="350">
        <v>2025</v>
      </c>
      <c r="R62" s="350">
        <v>2030</v>
      </c>
    </row>
    <row r="63" spans="2:18" ht="160.80000000000001" customHeight="1">
      <c r="B63" s="347"/>
      <c r="C63" s="352"/>
      <c r="D63" s="355"/>
      <c r="E63" s="355"/>
      <c r="F63" s="14" t="s">
        <v>211</v>
      </c>
      <c r="G63" s="23" t="s">
        <v>212</v>
      </c>
      <c r="H63" s="157">
        <v>1405</v>
      </c>
      <c r="I63" s="157">
        <v>2420</v>
      </c>
      <c r="J63" s="157">
        <v>4050</v>
      </c>
      <c r="K63" s="157">
        <v>5970</v>
      </c>
      <c r="L63" s="157">
        <v>8430</v>
      </c>
      <c r="M63" s="157">
        <v>11600</v>
      </c>
      <c r="N63" s="23"/>
      <c r="O63" s="352"/>
      <c r="P63" s="352"/>
      <c r="Q63" s="352"/>
      <c r="R63" s="352"/>
    </row>
    <row r="64" spans="2:18" ht="127.95" customHeight="1">
      <c r="B64" s="347"/>
      <c r="C64" s="10" t="s">
        <v>213</v>
      </c>
      <c r="D64" s="22" t="s">
        <v>214</v>
      </c>
      <c r="E64" s="22" t="s">
        <v>215</v>
      </c>
      <c r="F64" s="14" t="s">
        <v>793</v>
      </c>
      <c r="G64" s="23" t="s">
        <v>216</v>
      </c>
      <c r="H64" s="153">
        <v>8</v>
      </c>
      <c r="I64" s="156">
        <v>9.6</v>
      </c>
      <c r="J64" s="156">
        <v>11.52</v>
      </c>
      <c r="K64" s="156">
        <v>13.824</v>
      </c>
      <c r="L64" s="156">
        <v>16.588799999999999</v>
      </c>
      <c r="M64" s="156">
        <v>19.906559999999999</v>
      </c>
      <c r="N64" s="23"/>
      <c r="O64" s="14" t="s">
        <v>189</v>
      </c>
      <c r="P64" s="14" t="s">
        <v>190</v>
      </c>
      <c r="Q64" s="10">
        <v>2025</v>
      </c>
      <c r="R64" s="10">
        <v>2030</v>
      </c>
    </row>
    <row r="65" spans="2:18" ht="190.2" customHeight="1">
      <c r="B65" s="347"/>
      <c r="C65" s="10" t="s">
        <v>217</v>
      </c>
      <c r="D65" s="23" t="s">
        <v>218</v>
      </c>
      <c r="E65" s="23" t="s">
        <v>840</v>
      </c>
      <c r="F65" s="14" t="s">
        <v>219</v>
      </c>
      <c r="G65" s="23" t="s">
        <v>220</v>
      </c>
      <c r="H65" s="165" t="s">
        <v>111</v>
      </c>
      <c r="I65" s="28" t="s">
        <v>54</v>
      </c>
      <c r="J65" s="28" t="s">
        <v>54</v>
      </c>
      <c r="K65" s="28" t="s">
        <v>54</v>
      </c>
      <c r="L65" s="28" t="s">
        <v>54</v>
      </c>
      <c r="M65" s="28" t="s">
        <v>54</v>
      </c>
      <c r="N65" s="23"/>
      <c r="O65" s="14" t="s">
        <v>189</v>
      </c>
      <c r="P65" s="14" t="s">
        <v>190</v>
      </c>
      <c r="Q65" s="10">
        <v>2025</v>
      </c>
      <c r="R65" s="10">
        <v>2030</v>
      </c>
    </row>
    <row r="66" spans="2:18" ht="127.95" customHeight="1">
      <c r="B66" s="347"/>
      <c r="C66" s="10" t="s">
        <v>221</v>
      </c>
      <c r="D66" s="23" t="s">
        <v>222</v>
      </c>
      <c r="E66" s="23" t="s">
        <v>223</v>
      </c>
      <c r="F66" s="14" t="s">
        <v>224</v>
      </c>
      <c r="G66" s="23" t="s">
        <v>225</v>
      </c>
      <c r="H66" s="28" t="s">
        <v>54</v>
      </c>
      <c r="I66" s="155">
        <v>0.25</v>
      </c>
      <c r="J66" s="155">
        <v>0.25</v>
      </c>
      <c r="K66" s="155">
        <v>0.25</v>
      </c>
      <c r="L66" s="155">
        <v>0.25</v>
      </c>
      <c r="M66" s="155">
        <v>0.25</v>
      </c>
      <c r="N66" s="23"/>
      <c r="O66" s="14" t="s">
        <v>189</v>
      </c>
      <c r="P66" s="14" t="s">
        <v>190</v>
      </c>
      <c r="Q66" s="10">
        <v>2025</v>
      </c>
      <c r="R66" s="10">
        <v>2030</v>
      </c>
    </row>
    <row r="67" spans="2:18" ht="127.95" customHeight="1">
      <c r="B67" s="347"/>
      <c r="C67" s="10" t="s">
        <v>226</v>
      </c>
      <c r="D67" s="23" t="s">
        <v>227</v>
      </c>
      <c r="E67" s="23" t="s">
        <v>228</v>
      </c>
      <c r="F67" s="14" t="s">
        <v>229</v>
      </c>
      <c r="G67" s="16" t="s">
        <v>230</v>
      </c>
      <c r="H67" s="165" t="s">
        <v>111</v>
      </c>
      <c r="I67" s="165" t="s">
        <v>111</v>
      </c>
      <c r="J67" s="165" t="s">
        <v>111</v>
      </c>
      <c r="K67" s="165" t="s">
        <v>111</v>
      </c>
      <c r="L67" s="165" t="s">
        <v>111</v>
      </c>
      <c r="M67" s="165" t="s">
        <v>111</v>
      </c>
      <c r="N67" s="23"/>
      <c r="O67" s="14" t="s">
        <v>189</v>
      </c>
      <c r="P67" s="14" t="s">
        <v>190</v>
      </c>
      <c r="Q67" s="10">
        <v>2025</v>
      </c>
      <c r="R67" s="10">
        <v>2030</v>
      </c>
    </row>
    <row r="68" spans="2:18" ht="20.399999999999999">
      <c r="B68" s="25" t="s">
        <v>791</v>
      </c>
      <c r="C68" s="25"/>
      <c r="D68" s="25"/>
      <c r="E68" s="307"/>
      <c r="F68" s="158"/>
      <c r="G68" s="25"/>
      <c r="H68" s="25"/>
      <c r="I68" s="25"/>
      <c r="J68" s="25"/>
      <c r="K68" s="25"/>
      <c r="L68" s="25"/>
      <c r="M68" s="25"/>
      <c r="N68" s="25"/>
      <c r="O68" s="25"/>
      <c r="P68" s="25"/>
      <c r="Q68" s="25"/>
      <c r="R68" s="25"/>
    </row>
    <row r="69" spans="2:18" ht="82.2" customHeight="1">
      <c r="B69" s="349" t="s">
        <v>778</v>
      </c>
      <c r="C69" s="10" t="s">
        <v>231</v>
      </c>
      <c r="D69" s="16" t="s">
        <v>232</v>
      </c>
      <c r="E69" s="23" t="s">
        <v>233</v>
      </c>
      <c r="F69" s="14" t="s">
        <v>234</v>
      </c>
      <c r="G69" s="23" t="s">
        <v>235</v>
      </c>
      <c r="H69" s="165" t="s">
        <v>111</v>
      </c>
      <c r="I69" s="28" t="s">
        <v>54</v>
      </c>
      <c r="J69" s="28" t="s">
        <v>54</v>
      </c>
      <c r="K69" s="28" t="s">
        <v>54</v>
      </c>
      <c r="L69" s="28" t="s">
        <v>54</v>
      </c>
      <c r="M69" s="28" t="s">
        <v>54</v>
      </c>
      <c r="N69" s="23"/>
      <c r="O69" s="14" t="s">
        <v>66</v>
      </c>
      <c r="P69" s="14" t="s">
        <v>236</v>
      </c>
      <c r="Q69" s="14">
        <v>2025</v>
      </c>
      <c r="R69" s="14">
        <v>2026</v>
      </c>
    </row>
    <row r="70" spans="2:18" ht="78">
      <c r="B70" s="347"/>
      <c r="C70" s="10" t="s">
        <v>237</v>
      </c>
      <c r="D70" s="23" t="s">
        <v>238</v>
      </c>
      <c r="E70" s="23" t="s">
        <v>239</v>
      </c>
      <c r="F70" s="14" t="s">
        <v>240</v>
      </c>
      <c r="G70" s="23" t="s">
        <v>220</v>
      </c>
      <c r="H70" s="165" t="s">
        <v>111</v>
      </c>
      <c r="I70" s="28" t="s">
        <v>54</v>
      </c>
      <c r="J70" s="28" t="s">
        <v>54</v>
      </c>
      <c r="K70" s="28" t="s">
        <v>54</v>
      </c>
      <c r="L70" s="28" t="s">
        <v>54</v>
      </c>
      <c r="M70" s="28" t="s">
        <v>54</v>
      </c>
      <c r="N70" s="23"/>
      <c r="O70" s="14" t="s">
        <v>66</v>
      </c>
      <c r="P70" s="14" t="s">
        <v>236</v>
      </c>
      <c r="Q70" s="14">
        <v>2025</v>
      </c>
      <c r="R70" s="14">
        <v>2026</v>
      </c>
    </row>
    <row r="71" spans="2:18" ht="78.599999999999994" customHeight="1">
      <c r="B71" s="347"/>
      <c r="C71" s="10" t="s">
        <v>241</v>
      </c>
      <c r="D71" s="23" t="s">
        <v>242</v>
      </c>
      <c r="E71" s="23" t="s">
        <v>243</v>
      </c>
      <c r="F71" s="14" t="s">
        <v>244</v>
      </c>
      <c r="G71" s="23" t="s">
        <v>225</v>
      </c>
      <c r="H71" s="155">
        <v>0.25</v>
      </c>
      <c r="I71" s="155">
        <v>0.25</v>
      </c>
      <c r="J71" s="155">
        <v>0.25</v>
      </c>
      <c r="K71" s="155">
        <v>0.25</v>
      </c>
      <c r="L71" s="155">
        <v>0.25</v>
      </c>
      <c r="M71" s="155">
        <v>0.25</v>
      </c>
      <c r="N71" s="23"/>
      <c r="O71" s="14" t="s">
        <v>66</v>
      </c>
      <c r="P71" s="14" t="s">
        <v>236</v>
      </c>
      <c r="Q71" s="14">
        <v>2025</v>
      </c>
      <c r="R71" s="14">
        <v>2030</v>
      </c>
    </row>
    <row r="72" spans="2:18" ht="280.8">
      <c r="B72" s="348"/>
      <c r="C72" s="10" t="s">
        <v>792</v>
      </c>
      <c r="D72" s="23" t="s">
        <v>795</v>
      </c>
      <c r="E72" s="23" t="s">
        <v>796</v>
      </c>
      <c r="F72" s="14" t="s">
        <v>794</v>
      </c>
      <c r="G72" s="23" t="s">
        <v>797</v>
      </c>
      <c r="H72" s="28" t="s">
        <v>54</v>
      </c>
      <c r="I72" s="28" t="s">
        <v>54</v>
      </c>
      <c r="J72" s="28" t="s">
        <v>54</v>
      </c>
      <c r="K72" s="28" t="s">
        <v>54</v>
      </c>
      <c r="L72" s="28" t="s">
        <v>111</v>
      </c>
      <c r="M72" s="28" t="s">
        <v>54</v>
      </c>
      <c r="N72" s="23"/>
      <c r="O72" s="14" t="s">
        <v>66</v>
      </c>
      <c r="P72" s="14" t="s">
        <v>236</v>
      </c>
      <c r="Q72" s="14">
        <v>2027</v>
      </c>
      <c r="R72" s="14">
        <v>2030</v>
      </c>
    </row>
    <row r="73" spans="2:18" ht="20.399999999999999">
      <c r="B73" s="25" t="s">
        <v>245</v>
      </c>
      <c r="C73" s="25"/>
      <c r="D73" s="25"/>
      <c r="E73" s="307"/>
      <c r="F73" s="158"/>
      <c r="G73" s="25"/>
      <c r="H73" s="25"/>
      <c r="I73" s="25"/>
      <c r="J73" s="25"/>
      <c r="K73" s="25"/>
      <c r="L73" s="25"/>
      <c r="M73" s="25"/>
      <c r="N73" s="25"/>
      <c r="O73" s="25"/>
      <c r="P73" s="25"/>
      <c r="Q73" s="25"/>
      <c r="R73" s="25"/>
    </row>
    <row r="74" spans="2:18" ht="144" customHeight="1">
      <c r="B74" s="349" t="s">
        <v>779</v>
      </c>
      <c r="C74" s="350" t="s">
        <v>246</v>
      </c>
      <c r="D74" s="353" t="s">
        <v>247</v>
      </c>
      <c r="E74" s="353" t="s">
        <v>248</v>
      </c>
      <c r="F74" s="14" t="s">
        <v>249</v>
      </c>
      <c r="G74" s="23" t="s">
        <v>250</v>
      </c>
      <c r="H74" s="153">
        <v>15</v>
      </c>
      <c r="I74" s="156">
        <v>16.5</v>
      </c>
      <c r="J74" s="156">
        <v>18.150000000000002</v>
      </c>
      <c r="K74" s="156">
        <v>19.965000000000003</v>
      </c>
      <c r="L74" s="156">
        <v>21.961500000000004</v>
      </c>
      <c r="M74" s="156">
        <v>24.157650000000007</v>
      </c>
      <c r="N74" s="23"/>
      <c r="O74" s="10" t="s">
        <v>251</v>
      </c>
      <c r="P74" s="10" t="s">
        <v>252</v>
      </c>
      <c r="Q74" s="10">
        <v>2025</v>
      </c>
      <c r="R74" s="10">
        <v>2030</v>
      </c>
    </row>
    <row r="75" spans="2:18" ht="160.80000000000001" customHeight="1">
      <c r="B75" s="347"/>
      <c r="C75" s="351"/>
      <c r="D75" s="354"/>
      <c r="E75" s="354"/>
      <c r="F75" s="14" t="s">
        <v>253</v>
      </c>
      <c r="G75" s="23" t="s">
        <v>254</v>
      </c>
      <c r="H75" s="156">
        <v>7.5</v>
      </c>
      <c r="I75" s="156">
        <v>8.25</v>
      </c>
      <c r="J75" s="156">
        <v>9.0750000000000011</v>
      </c>
      <c r="K75" s="156">
        <v>9.9825000000000017</v>
      </c>
      <c r="L75" s="156">
        <v>10.980750000000002</v>
      </c>
      <c r="M75" s="156">
        <v>12.078825000000004</v>
      </c>
      <c r="N75" s="156">
        <v>0</v>
      </c>
      <c r="O75" s="14" t="s">
        <v>66</v>
      </c>
      <c r="P75" s="14" t="s">
        <v>189</v>
      </c>
      <c r="Q75" s="14">
        <v>2025</v>
      </c>
      <c r="R75" s="14">
        <v>2030</v>
      </c>
    </row>
    <row r="76" spans="2:18" ht="145.19999999999999" customHeight="1">
      <c r="B76" s="347"/>
      <c r="C76" s="10" t="s">
        <v>255</v>
      </c>
      <c r="D76" s="23" t="s">
        <v>256</v>
      </c>
      <c r="E76" s="23" t="s">
        <v>257</v>
      </c>
      <c r="F76" s="14" t="s">
        <v>258</v>
      </c>
      <c r="G76" s="23" t="s">
        <v>259</v>
      </c>
      <c r="H76" s="153" t="s">
        <v>111</v>
      </c>
      <c r="I76" s="153" t="s">
        <v>111</v>
      </c>
      <c r="J76" s="153" t="s">
        <v>111</v>
      </c>
      <c r="K76" s="153" t="s">
        <v>111</v>
      </c>
      <c r="L76" s="153" t="s">
        <v>111</v>
      </c>
      <c r="M76" s="153" t="s">
        <v>111</v>
      </c>
      <c r="N76" s="23"/>
      <c r="O76" s="14" t="s">
        <v>66</v>
      </c>
      <c r="P76" s="14" t="s">
        <v>260</v>
      </c>
      <c r="Q76" s="14">
        <v>2026</v>
      </c>
      <c r="R76" s="14">
        <v>2030</v>
      </c>
    </row>
    <row r="77" spans="2:18" ht="145.19999999999999" customHeight="1">
      <c r="B77" s="347"/>
      <c r="C77" s="10" t="s">
        <v>261</v>
      </c>
      <c r="D77" s="23" t="s">
        <v>262</v>
      </c>
      <c r="E77" s="23" t="s">
        <v>263</v>
      </c>
      <c r="F77" s="14" t="s">
        <v>264</v>
      </c>
      <c r="G77" s="23" t="s">
        <v>265</v>
      </c>
      <c r="H77" s="153" t="s">
        <v>111</v>
      </c>
      <c r="I77" s="153" t="s">
        <v>111</v>
      </c>
      <c r="J77" s="153" t="s">
        <v>111</v>
      </c>
      <c r="K77" s="153" t="s">
        <v>111</v>
      </c>
      <c r="L77" s="153" t="s">
        <v>111</v>
      </c>
      <c r="M77" s="153" t="s">
        <v>111</v>
      </c>
      <c r="N77" s="23"/>
      <c r="O77" s="14" t="s">
        <v>66</v>
      </c>
      <c r="P77" s="14" t="s">
        <v>260</v>
      </c>
      <c r="Q77" s="14">
        <v>2026</v>
      </c>
      <c r="R77" s="14">
        <v>2030</v>
      </c>
    </row>
    <row r="78" spans="2:18" ht="153" customHeight="1">
      <c r="B78" s="347"/>
      <c r="C78" s="350" t="s">
        <v>798</v>
      </c>
      <c r="D78" s="353" t="s">
        <v>801</v>
      </c>
      <c r="E78" s="353" t="s">
        <v>802</v>
      </c>
      <c r="F78" s="14" t="s">
        <v>799</v>
      </c>
      <c r="G78" s="23" t="s">
        <v>809</v>
      </c>
      <c r="H78" s="28" t="s">
        <v>54</v>
      </c>
      <c r="I78" s="28" t="s">
        <v>54</v>
      </c>
      <c r="J78" s="28">
        <v>120</v>
      </c>
      <c r="K78" s="28">
        <v>150</v>
      </c>
      <c r="L78" s="28">
        <v>187.5</v>
      </c>
      <c r="M78" s="28">
        <v>234.375</v>
      </c>
      <c r="N78" s="23"/>
      <c r="O78" s="350" t="s">
        <v>66</v>
      </c>
      <c r="P78" s="350" t="s">
        <v>800</v>
      </c>
      <c r="Q78" s="350">
        <v>2027</v>
      </c>
      <c r="R78" s="350">
        <v>2030</v>
      </c>
    </row>
    <row r="79" spans="2:18" ht="153" customHeight="1">
      <c r="B79" s="311"/>
      <c r="C79" s="352"/>
      <c r="D79" s="355"/>
      <c r="E79" s="355"/>
      <c r="F79" s="14" t="s">
        <v>803</v>
      </c>
      <c r="G79" s="23" t="s">
        <v>804</v>
      </c>
      <c r="H79" s="28" t="s">
        <v>54</v>
      </c>
      <c r="I79" s="28" t="s">
        <v>54</v>
      </c>
      <c r="J79" s="28">
        <v>4</v>
      </c>
      <c r="K79" s="28">
        <v>5</v>
      </c>
      <c r="L79" s="28">
        <v>6.25</v>
      </c>
      <c r="M79" s="28">
        <v>7.8125</v>
      </c>
      <c r="N79" s="23"/>
      <c r="O79" s="352"/>
      <c r="P79" s="352"/>
      <c r="Q79" s="352"/>
      <c r="R79" s="352"/>
    </row>
    <row r="80" spans="2:18" ht="20.399999999999999">
      <c r="B80" s="25" t="s">
        <v>266</v>
      </c>
      <c r="C80" s="25"/>
      <c r="D80" s="25"/>
      <c r="E80" s="307"/>
      <c r="F80" s="158"/>
      <c r="G80" s="25"/>
      <c r="H80" s="25"/>
      <c r="I80" s="25"/>
      <c r="J80" s="25"/>
      <c r="K80" s="25"/>
      <c r="L80" s="25"/>
      <c r="M80" s="25"/>
      <c r="N80" s="25"/>
      <c r="O80" s="25"/>
      <c r="P80" s="25"/>
      <c r="Q80" s="25"/>
      <c r="R80" s="25"/>
    </row>
    <row r="81" spans="2:18" ht="86.4" customHeight="1">
      <c r="B81" s="363" t="s">
        <v>779</v>
      </c>
      <c r="C81" s="350" t="s">
        <v>267</v>
      </c>
      <c r="D81" s="364" t="s">
        <v>268</v>
      </c>
      <c r="E81" s="353" t="s">
        <v>269</v>
      </c>
      <c r="F81" s="14" t="s">
        <v>270</v>
      </c>
      <c r="G81" s="23" t="s">
        <v>271</v>
      </c>
      <c r="H81" s="28" t="s">
        <v>54</v>
      </c>
      <c r="I81" s="14" t="s">
        <v>111</v>
      </c>
      <c r="J81" s="14" t="s">
        <v>111</v>
      </c>
      <c r="K81" s="14" t="s">
        <v>111</v>
      </c>
      <c r="L81" s="14" t="s">
        <v>111</v>
      </c>
      <c r="M81" s="14" t="s">
        <v>111</v>
      </c>
      <c r="N81" s="23"/>
      <c r="O81" s="350" t="s">
        <v>272</v>
      </c>
      <c r="P81" s="350" t="s">
        <v>273</v>
      </c>
      <c r="Q81" s="350">
        <v>2026</v>
      </c>
      <c r="R81" s="350">
        <v>2030</v>
      </c>
    </row>
    <row r="82" spans="2:18" ht="86.4" customHeight="1">
      <c r="B82" s="363"/>
      <c r="C82" s="352"/>
      <c r="D82" s="365"/>
      <c r="E82" s="355"/>
      <c r="F82" s="14" t="s">
        <v>274</v>
      </c>
      <c r="G82" s="23" t="s">
        <v>275</v>
      </c>
      <c r="H82" s="28" t="s">
        <v>54</v>
      </c>
      <c r="I82" s="28" t="s">
        <v>54</v>
      </c>
      <c r="J82" s="14" t="s">
        <v>111</v>
      </c>
      <c r="K82" s="14" t="s">
        <v>111</v>
      </c>
      <c r="L82" s="14" t="s">
        <v>111</v>
      </c>
      <c r="M82" s="14" t="s">
        <v>111</v>
      </c>
      <c r="N82" s="23"/>
      <c r="O82" s="352"/>
      <c r="P82" s="352"/>
      <c r="Q82" s="352"/>
      <c r="R82" s="352"/>
    </row>
    <row r="83" spans="2:18" ht="86.4" customHeight="1">
      <c r="B83" s="363"/>
      <c r="C83" s="350" t="s">
        <v>276</v>
      </c>
      <c r="D83" s="366" t="s">
        <v>277</v>
      </c>
      <c r="E83" s="360" t="s">
        <v>278</v>
      </c>
      <c r="F83" s="14" t="s">
        <v>279</v>
      </c>
      <c r="G83" s="23" t="s">
        <v>280</v>
      </c>
      <c r="H83" s="28" t="s">
        <v>54</v>
      </c>
      <c r="I83" s="14" t="s">
        <v>111</v>
      </c>
      <c r="J83" s="14" t="s">
        <v>111</v>
      </c>
      <c r="K83" s="14" t="s">
        <v>111</v>
      </c>
      <c r="L83" s="14" t="s">
        <v>111</v>
      </c>
      <c r="M83" s="14" t="s">
        <v>111</v>
      </c>
      <c r="N83" s="23"/>
      <c r="O83" s="350" t="s">
        <v>281</v>
      </c>
      <c r="P83" s="350" t="s">
        <v>252</v>
      </c>
      <c r="Q83" s="350">
        <v>2026</v>
      </c>
      <c r="R83" s="350">
        <v>2030</v>
      </c>
    </row>
    <row r="84" spans="2:18" ht="86.4" customHeight="1">
      <c r="B84" s="363"/>
      <c r="C84" s="351"/>
      <c r="D84" s="367"/>
      <c r="E84" s="361"/>
      <c r="F84" s="14" t="s">
        <v>282</v>
      </c>
      <c r="G84" s="23" t="s">
        <v>283</v>
      </c>
      <c r="H84" s="28" t="s">
        <v>54</v>
      </c>
      <c r="I84" s="14" t="s">
        <v>111</v>
      </c>
      <c r="J84" s="14" t="s">
        <v>111</v>
      </c>
      <c r="K84" s="14" t="s">
        <v>111</v>
      </c>
      <c r="L84" s="14" t="s">
        <v>111</v>
      </c>
      <c r="M84" s="14" t="s">
        <v>111</v>
      </c>
      <c r="N84" s="23"/>
      <c r="O84" s="351"/>
      <c r="P84" s="351"/>
      <c r="Q84" s="351"/>
      <c r="R84" s="351"/>
    </row>
    <row r="85" spans="2:18" ht="86.4" customHeight="1">
      <c r="B85" s="363"/>
      <c r="C85" s="352"/>
      <c r="D85" s="368"/>
      <c r="E85" s="362"/>
      <c r="F85" s="14" t="s">
        <v>284</v>
      </c>
      <c r="G85" s="23" t="s">
        <v>285</v>
      </c>
      <c r="H85" s="28" t="s">
        <v>54</v>
      </c>
      <c r="I85" s="14" t="s">
        <v>111</v>
      </c>
      <c r="J85" s="14" t="s">
        <v>111</v>
      </c>
      <c r="K85" s="14" t="s">
        <v>111</v>
      </c>
      <c r="L85" s="14" t="s">
        <v>111</v>
      </c>
      <c r="M85" s="14" t="s">
        <v>111</v>
      </c>
      <c r="N85" s="23"/>
      <c r="O85" s="352"/>
      <c r="P85" s="352"/>
      <c r="Q85" s="352"/>
      <c r="R85" s="352"/>
    </row>
    <row r="86" spans="2:18">
      <c r="D86" s="305"/>
      <c r="E86" s="306"/>
    </row>
  </sheetData>
  <mergeCells count="127">
    <mergeCell ref="R78:R79"/>
    <mergeCell ref="Q62:Q63"/>
    <mergeCell ref="C83:C85"/>
    <mergeCell ref="O45:O47"/>
    <mergeCell ref="P45:P47"/>
    <mergeCell ref="Q45:Q47"/>
    <mergeCell ref="P83:P85"/>
    <mergeCell ref="Q83:Q85"/>
    <mergeCell ref="C74:C75"/>
    <mergeCell ref="D74:D75"/>
    <mergeCell ref="E74:E75"/>
    <mergeCell ref="C78:C79"/>
    <mergeCell ref="D78:D79"/>
    <mergeCell ref="E78:E79"/>
    <mergeCell ref="P78:P79"/>
    <mergeCell ref="O78:O79"/>
    <mergeCell ref="Q78:Q79"/>
    <mergeCell ref="B81:B85"/>
    <mergeCell ref="C50:C53"/>
    <mergeCell ref="D50:D53"/>
    <mergeCell ref="E50:E53"/>
    <mergeCell ref="O50:O53"/>
    <mergeCell ref="P50:P53"/>
    <mergeCell ref="Q50:Q53"/>
    <mergeCell ref="R50:R53"/>
    <mergeCell ref="D81:D82"/>
    <mergeCell ref="C81:C82"/>
    <mergeCell ref="E81:E82"/>
    <mergeCell ref="N58:N61"/>
    <mergeCell ref="E58:E61"/>
    <mergeCell ref="C62:C63"/>
    <mergeCell ref="E62:E63"/>
    <mergeCell ref="D62:D63"/>
    <mergeCell ref="D83:D85"/>
    <mergeCell ref="E83:E85"/>
    <mergeCell ref="O83:O85"/>
    <mergeCell ref="B74:B78"/>
    <mergeCell ref="Q58:Q61"/>
    <mergeCell ref="O58:O61"/>
    <mergeCell ref="P58:P61"/>
    <mergeCell ref="O62:O63"/>
    <mergeCell ref="O37:O40"/>
    <mergeCell ref="P37:P40"/>
    <mergeCell ref="Q37:Q40"/>
    <mergeCell ref="R37:R40"/>
    <mergeCell ref="Q35:Q36"/>
    <mergeCell ref="E35:E36"/>
    <mergeCell ref="R35:R36"/>
    <mergeCell ref="R83:R85"/>
    <mergeCell ref="D58:D61"/>
    <mergeCell ref="R81:R82"/>
    <mergeCell ref="R58:R61"/>
    <mergeCell ref="R62:R63"/>
    <mergeCell ref="Q41:Q43"/>
    <mergeCell ref="R41:R43"/>
    <mergeCell ref="D41:D43"/>
    <mergeCell ref="E41:E43"/>
    <mergeCell ref="O41:O43"/>
    <mergeCell ref="P41:P43"/>
    <mergeCell ref="R45:R47"/>
    <mergeCell ref="O81:O82"/>
    <mergeCell ref="P81:P82"/>
    <mergeCell ref="Q81:Q82"/>
    <mergeCell ref="E45:E47"/>
    <mergeCell ref="P62:P63"/>
    <mergeCell ref="O31:O32"/>
    <mergeCell ref="P31:P32"/>
    <mergeCell ref="E31:E32"/>
    <mergeCell ref="O35:O36"/>
    <mergeCell ref="P35:P36"/>
    <mergeCell ref="D35:D36"/>
    <mergeCell ref="O5:O11"/>
    <mergeCell ref="Q5:Q11"/>
    <mergeCell ref="R5:R11"/>
    <mergeCell ref="P5:P11"/>
    <mergeCell ref="R20:R23"/>
    <mergeCell ref="O16:O19"/>
    <mergeCell ref="P16:P19"/>
    <mergeCell ref="R16:R19"/>
    <mergeCell ref="Q16:Q19"/>
    <mergeCell ref="O24:O27"/>
    <mergeCell ref="P24:P27"/>
    <mergeCell ref="Q24:Q27"/>
    <mergeCell ref="Q31:Q32"/>
    <mergeCell ref="R31:R32"/>
    <mergeCell ref="O20:O23"/>
    <mergeCell ref="P20:P23"/>
    <mergeCell ref="Q20:Q23"/>
    <mergeCell ref="R24:R27"/>
    <mergeCell ref="B35:B43"/>
    <mergeCell ref="F2:G2"/>
    <mergeCell ref="E5:E11"/>
    <mergeCell ref="C5:C11"/>
    <mergeCell ref="D5:D11"/>
    <mergeCell ref="C28:C29"/>
    <mergeCell ref="D28:D29"/>
    <mergeCell ref="E16:E19"/>
    <mergeCell ref="E20:E23"/>
    <mergeCell ref="E28:E29"/>
    <mergeCell ref="D24:D27"/>
    <mergeCell ref="E24:E27"/>
    <mergeCell ref="D37:D40"/>
    <mergeCell ref="E37:E40"/>
    <mergeCell ref="O28:O29"/>
    <mergeCell ref="P28:P29"/>
    <mergeCell ref="Q28:Q29"/>
    <mergeCell ref="R28:R29"/>
    <mergeCell ref="B5:B14"/>
    <mergeCell ref="B56:B67"/>
    <mergeCell ref="B50:B54"/>
    <mergeCell ref="B45:B48"/>
    <mergeCell ref="B69:B72"/>
    <mergeCell ref="C16:C19"/>
    <mergeCell ref="D16:D19"/>
    <mergeCell ref="C31:C32"/>
    <mergeCell ref="D31:D32"/>
    <mergeCell ref="B31:B33"/>
    <mergeCell ref="D45:D47"/>
    <mergeCell ref="C45:C47"/>
    <mergeCell ref="C24:C27"/>
    <mergeCell ref="C20:C23"/>
    <mergeCell ref="D20:D23"/>
    <mergeCell ref="C35:C36"/>
    <mergeCell ref="C58:C61"/>
    <mergeCell ref="C41:C43"/>
    <mergeCell ref="C37:C40"/>
    <mergeCell ref="B16:B29"/>
  </mergeCells>
  <phoneticPr fontId="2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D795-806A-4BDE-9E6E-331EEF78A96D}">
  <dimension ref="A1:P35"/>
  <sheetViews>
    <sheetView tabSelected="1" zoomScale="59" workbookViewId="0">
      <selection activeCell="I9" sqref="I9"/>
    </sheetView>
  </sheetViews>
  <sheetFormatPr defaultColWidth="8.88671875" defaultRowHeight="15.6"/>
  <cols>
    <col min="1" max="1" width="81" style="138" customWidth="1"/>
    <col min="2" max="2" width="20.6640625" style="138" bestFit="1" customWidth="1"/>
    <col min="3" max="3" width="18.6640625" style="138" bestFit="1" customWidth="1"/>
    <col min="4" max="4" width="19.33203125" style="138" bestFit="1" customWidth="1"/>
    <col min="5" max="6" width="19.6640625" style="138" bestFit="1" customWidth="1"/>
    <col min="7" max="7" width="19.88671875" style="138" bestFit="1" customWidth="1"/>
    <col min="8" max="8" width="20.5546875" style="138" bestFit="1" customWidth="1"/>
    <col min="9" max="9" width="8.88671875" style="138"/>
    <col min="10" max="10" width="16.6640625" style="138" bestFit="1" customWidth="1"/>
    <col min="11" max="11" width="13.33203125" style="138" bestFit="1" customWidth="1"/>
    <col min="12" max="13" width="13.109375" style="138" bestFit="1" customWidth="1"/>
    <col min="14" max="14" width="13.33203125" style="138" bestFit="1" customWidth="1"/>
    <col min="15" max="15" width="14.44140625" style="138" bestFit="1" customWidth="1"/>
    <col min="16" max="16" width="14.33203125" style="138" bestFit="1" customWidth="1"/>
    <col min="17" max="16384" width="8.88671875" style="138"/>
  </cols>
  <sheetData>
    <row r="1" spans="1:16" ht="31.2">
      <c r="A1" s="312"/>
      <c r="B1" s="313">
        <v>2025</v>
      </c>
      <c r="C1" s="313">
        <v>2026</v>
      </c>
      <c r="D1" s="313">
        <v>2027</v>
      </c>
      <c r="E1" s="313">
        <v>2028</v>
      </c>
      <c r="F1" s="313">
        <v>2029</v>
      </c>
      <c r="G1" s="313">
        <v>2030</v>
      </c>
      <c r="H1" s="314" t="s">
        <v>813</v>
      </c>
    </row>
    <row r="2" spans="1:16">
      <c r="A2" s="315" t="s">
        <v>814</v>
      </c>
      <c r="B2" s="137">
        <v>2637676000</v>
      </c>
      <c r="C2" s="137">
        <v>5818129000</v>
      </c>
      <c r="D2" s="137">
        <v>10608041000</v>
      </c>
      <c r="E2" s="137">
        <v>14224866000</v>
      </c>
      <c r="F2" s="137">
        <v>18508080000</v>
      </c>
      <c r="G2" s="137">
        <v>23713381000</v>
      </c>
      <c r="H2" s="137">
        <v>75510173000</v>
      </c>
      <c r="J2" s="316"/>
      <c r="K2" s="316"/>
      <c r="L2" s="316"/>
      <c r="M2" s="316"/>
      <c r="N2" s="316"/>
      <c r="O2" s="316"/>
      <c r="P2" s="316"/>
    </row>
    <row r="3" spans="1:16">
      <c r="A3" s="315" t="s">
        <v>815</v>
      </c>
      <c r="B3" s="137">
        <v>6651000</v>
      </c>
      <c r="C3" s="137">
        <v>14671000</v>
      </c>
      <c r="D3" s="137">
        <v>26750000</v>
      </c>
      <c r="E3" s="137">
        <v>35871000</v>
      </c>
      <c r="F3" s="137">
        <v>46672000</v>
      </c>
      <c r="G3" s="137">
        <v>59798000</v>
      </c>
      <c r="H3" s="137">
        <v>190413000</v>
      </c>
      <c r="J3" s="316"/>
      <c r="K3" s="316"/>
      <c r="L3" s="316"/>
      <c r="M3" s="316"/>
      <c r="N3" s="316"/>
      <c r="O3" s="316"/>
      <c r="P3" s="316"/>
    </row>
    <row r="4" spans="1:16">
      <c r="J4" s="316"/>
      <c r="K4" s="316"/>
      <c r="L4" s="316"/>
      <c r="M4" s="316"/>
      <c r="N4" s="316"/>
      <c r="O4" s="316"/>
      <c r="P4" s="316"/>
    </row>
    <row r="5" spans="1:16">
      <c r="A5" s="317" t="s">
        <v>816</v>
      </c>
      <c r="B5" s="317"/>
      <c r="C5" s="317"/>
      <c r="D5" s="317"/>
      <c r="E5" s="317"/>
      <c r="F5" s="317"/>
      <c r="G5" s="317"/>
      <c r="H5" s="317"/>
      <c r="J5" s="316"/>
      <c r="K5" s="316"/>
      <c r="L5" s="316"/>
      <c r="M5" s="316"/>
      <c r="N5" s="316"/>
      <c r="O5" s="316"/>
      <c r="P5" s="316"/>
    </row>
    <row r="6" spans="1:16">
      <c r="A6" s="318" t="s">
        <v>817</v>
      </c>
      <c r="B6" s="137">
        <v>1640894000</v>
      </c>
      <c r="C6" s="137">
        <v>3939200000</v>
      </c>
      <c r="D6" s="137">
        <v>7578406000</v>
      </c>
      <c r="E6" s="137">
        <v>10227617000</v>
      </c>
      <c r="F6" s="137">
        <v>13044423000</v>
      </c>
      <c r="G6" s="137">
        <v>16748811000</v>
      </c>
      <c r="H6" s="137">
        <v>53179351000</v>
      </c>
      <c r="J6" s="316"/>
      <c r="K6" s="316"/>
      <c r="L6" s="316"/>
      <c r="M6" s="316"/>
      <c r="N6" s="316"/>
      <c r="O6" s="316"/>
      <c r="P6" s="316"/>
    </row>
    <row r="7" spans="1:16">
      <c r="A7" s="318" t="s">
        <v>818</v>
      </c>
      <c r="B7" s="137">
        <v>1012409000</v>
      </c>
      <c r="C7" s="137">
        <v>1878929000</v>
      </c>
      <c r="D7" s="137">
        <v>3029635000</v>
      </c>
      <c r="E7" s="137">
        <v>3997249000</v>
      </c>
      <c r="F7" s="137">
        <v>5463657000</v>
      </c>
      <c r="G7" s="137">
        <v>6964570000</v>
      </c>
      <c r="H7" s="137">
        <v>22346449000</v>
      </c>
      <c r="J7" s="316"/>
      <c r="K7" s="316"/>
      <c r="L7" s="316"/>
      <c r="M7" s="316"/>
      <c r="N7" s="316"/>
      <c r="O7" s="316"/>
      <c r="P7" s="316"/>
    </row>
    <row r="8" spans="1:16">
      <c r="J8" s="316"/>
      <c r="K8" s="316"/>
      <c r="L8" s="316"/>
      <c r="M8" s="316"/>
      <c r="N8" s="316"/>
      <c r="O8" s="316"/>
      <c r="P8" s="316"/>
    </row>
    <row r="9" spans="1:16">
      <c r="A9" s="318" t="s">
        <v>819</v>
      </c>
      <c r="B9" s="137">
        <v>4138000</v>
      </c>
      <c r="C9" s="137">
        <v>9933000</v>
      </c>
      <c r="D9" s="137">
        <v>19110000</v>
      </c>
      <c r="E9" s="137">
        <v>25791000</v>
      </c>
      <c r="F9" s="137">
        <v>32894000</v>
      </c>
      <c r="G9" s="137">
        <v>42235000</v>
      </c>
      <c r="H9" s="137">
        <v>134102000</v>
      </c>
      <c r="J9" s="316"/>
      <c r="K9" s="316"/>
      <c r="L9" s="316"/>
      <c r="M9" s="316"/>
      <c r="N9" s="316"/>
      <c r="O9" s="316"/>
      <c r="P9" s="316"/>
    </row>
    <row r="10" spans="1:16">
      <c r="A10" s="318" t="s">
        <v>820</v>
      </c>
      <c r="B10" s="137">
        <v>2553000</v>
      </c>
      <c r="C10" s="137">
        <v>4738000</v>
      </c>
      <c r="D10" s="137">
        <v>7640000</v>
      </c>
      <c r="E10" s="137">
        <v>10080000</v>
      </c>
      <c r="F10" s="137">
        <v>13778000</v>
      </c>
      <c r="G10" s="137">
        <v>17562000</v>
      </c>
      <c r="H10" s="137">
        <v>56351000</v>
      </c>
      <c r="J10" s="316"/>
      <c r="K10" s="316"/>
      <c r="L10" s="316"/>
      <c r="M10" s="316"/>
      <c r="N10" s="316"/>
      <c r="O10" s="316"/>
      <c r="P10" s="316"/>
    </row>
    <row r="11" spans="1:16">
      <c r="J11" s="316"/>
      <c r="K11" s="316"/>
      <c r="L11" s="316"/>
      <c r="M11" s="316"/>
      <c r="N11" s="316"/>
      <c r="O11" s="316"/>
      <c r="P11" s="316"/>
    </row>
    <row r="12" spans="1:16">
      <c r="A12" s="318" t="s">
        <v>821</v>
      </c>
      <c r="B12" s="319">
        <v>0.62209839267597689</v>
      </c>
      <c r="C12" s="319">
        <v>0.67705614640032907</v>
      </c>
      <c r="D12" s="319">
        <v>0.71440202766938776</v>
      </c>
      <c r="E12" s="319">
        <v>0.71899566575881979</v>
      </c>
      <c r="F12" s="319">
        <v>0.70479612147775461</v>
      </c>
      <c r="G12" s="319">
        <v>0.70630210850152497</v>
      </c>
      <c r="H12" s="319">
        <v>0.70426737070248802</v>
      </c>
      <c r="J12" s="316"/>
      <c r="K12" s="316"/>
      <c r="L12" s="316"/>
      <c r="M12" s="316"/>
      <c r="N12" s="316"/>
      <c r="O12" s="316"/>
      <c r="P12" s="316"/>
    </row>
    <row r="13" spans="1:16">
      <c r="A13" s="318" t="s">
        <v>822</v>
      </c>
      <c r="B13" s="319">
        <v>0.38382614089069317</v>
      </c>
      <c r="C13" s="319">
        <v>0.32294385359967098</v>
      </c>
      <c r="D13" s="319">
        <v>0.28559797233061224</v>
      </c>
      <c r="E13" s="319">
        <v>0.28100433424118021</v>
      </c>
      <c r="F13" s="319">
        <v>0.29520387852224544</v>
      </c>
      <c r="G13" s="319">
        <v>0.29369789149847508</v>
      </c>
      <c r="H13" s="319">
        <v>0.29593958154486016</v>
      </c>
      <c r="J13" s="316"/>
      <c r="K13" s="316"/>
      <c r="L13" s="316"/>
      <c r="M13" s="316"/>
      <c r="N13" s="316"/>
      <c r="O13" s="316"/>
      <c r="P13" s="316"/>
    </row>
    <row r="14" spans="1:16">
      <c r="J14" s="316"/>
      <c r="K14" s="316"/>
      <c r="L14" s="316"/>
      <c r="M14" s="316"/>
      <c r="N14" s="316"/>
      <c r="O14" s="316"/>
      <c r="P14" s="316"/>
    </row>
    <row r="15" spans="1:16">
      <c r="A15" s="317" t="s">
        <v>823</v>
      </c>
      <c r="B15" s="317"/>
      <c r="C15" s="317"/>
      <c r="D15" s="317"/>
      <c r="E15" s="317"/>
      <c r="F15" s="317"/>
      <c r="G15" s="317"/>
      <c r="H15" s="317"/>
      <c r="J15" s="316"/>
      <c r="K15" s="316"/>
      <c r="L15" s="316"/>
      <c r="M15" s="316"/>
      <c r="N15" s="316"/>
      <c r="O15" s="316"/>
      <c r="P15" s="316"/>
    </row>
    <row r="16" spans="1:16">
      <c r="A16" s="320" t="s">
        <v>824</v>
      </c>
      <c r="B16" s="137">
        <v>2401755000</v>
      </c>
      <c r="C16" s="137">
        <v>5640476000</v>
      </c>
      <c r="D16" s="137">
        <v>10362266000</v>
      </c>
      <c r="E16" s="137">
        <v>13934681000</v>
      </c>
      <c r="F16" s="137">
        <v>18207944000</v>
      </c>
      <c r="G16" s="137">
        <v>23404125000</v>
      </c>
      <c r="H16" s="137">
        <v>73951247000</v>
      </c>
      <c r="J16" s="316"/>
      <c r="K16" s="316"/>
      <c r="L16" s="316"/>
      <c r="M16" s="316"/>
      <c r="N16" s="316"/>
      <c r="O16" s="316"/>
      <c r="P16" s="316"/>
    </row>
    <row r="17" spans="1:16">
      <c r="A17" s="320" t="s">
        <v>825</v>
      </c>
      <c r="B17" s="137">
        <v>235921000</v>
      </c>
      <c r="C17" s="137">
        <v>177653000</v>
      </c>
      <c r="D17" s="137">
        <v>245775000</v>
      </c>
      <c r="E17" s="137">
        <v>290185000</v>
      </c>
      <c r="F17" s="137">
        <v>300136000</v>
      </c>
      <c r="G17" s="137">
        <v>309256000</v>
      </c>
      <c r="H17" s="137">
        <v>1558926000</v>
      </c>
      <c r="J17" s="316"/>
      <c r="K17" s="316"/>
      <c r="L17" s="316"/>
      <c r="M17" s="316"/>
      <c r="N17" s="316"/>
      <c r="O17" s="316"/>
      <c r="P17" s="316"/>
    </row>
    <row r="18" spans="1:16">
      <c r="A18" s="321"/>
      <c r="J18" s="316"/>
      <c r="K18" s="316"/>
      <c r="L18" s="316"/>
      <c r="M18" s="316"/>
      <c r="N18" s="316"/>
      <c r="O18" s="316"/>
      <c r="P18" s="316"/>
    </row>
    <row r="19" spans="1:16">
      <c r="A19" s="320" t="s">
        <v>826</v>
      </c>
      <c r="B19" s="137">
        <v>6056000</v>
      </c>
      <c r="C19" s="137">
        <v>14224000</v>
      </c>
      <c r="D19" s="137">
        <v>26130000</v>
      </c>
      <c r="E19" s="137">
        <v>35139000</v>
      </c>
      <c r="F19" s="137">
        <v>45915000</v>
      </c>
      <c r="G19" s="137">
        <v>59018000</v>
      </c>
      <c r="H19" s="137">
        <v>186482000</v>
      </c>
      <c r="J19" s="316"/>
      <c r="K19" s="316"/>
      <c r="L19" s="316"/>
      <c r="M19" s="316"/>
      <c r="N19" s="316"/>
      <c r="O19" s="316"/>
      <c r="P19" s="316"/>
    </row>
    <row r="20" spans="1:16">
      <c r="A20" s="320" t="s">
        <v>827</v>
      </c>
      <c r="B20" s="137">
        <v>595000</v>
      </c>
      <c r="C20" s="137">
        <v>448000</v>
      </c>
      <c r="D20" s="137">
        <v>620000</v>
      </c>
      <c r="E20" s="137">
        <v>732000</v>
      </c>
      <c r="F20" s="137">
        <v>757000</v>
      </c>
      <c r="G20" s="137">
        <v>780000</v>
      </c>
      <c r="H20" s="137">
        <v>3931000</v>
      </c>
      <c r="J20" s="316"/>
      <c r="K20" s="316"/>
      <c r="L20" s="316"/>
      <c r="M20" s="316"/>
      <c r="N20" s="316"/>
      <c r="O20" s="316"/>
      <c r="P20" s="316"/>
    </row>
    <row r="21" spans="1:16">
      <c r="A21" s="325"/>
      <c r="B21" s="326"/>
      <c r="C21" s="326"/>
      <c r="D21" s="326"/>
      <c r="E21" s="326"/>
      <c r="F21" s="326"/>
      <c r="G21" s="326"/>
      <c r="H21" s="326"/>
      <c r="J21" s="316"/>
      <c r="K21" s="316"/>
      <c r="L21" s="316"/>
      <c r="M21" s="316"/>
      <c r="N21" s="316"/>
      <c r="O21" s="316"/>
      <c r="P21" s="316"/>
    </row>
    <row r="22" spans="1:16">
      <c r="A22" s="320" t="s">
        <v>837</v>
      </c>
      <c r="B22" s="327">
        <v>0.9105572481229689</v>
      </c>
      <c r="C22" s="327">
        <v>0.96946561343002191</v>
      </c>
      <c r="D22" s="327">
        <v>0.97683125470574628</v>
      </c>
      <c r="E22" s="327">
        <v>0.97960015932663269</v>
      </c>
      <c r="F22" s="327">
        <v>0.98378351509178696</v>
      </c>
      <c r="G22" s="327">
        <v>0.98695858679957948</v>
      </c>
      <c r="H22" s="327">
        <v>0.97935475528575466</v>
      </c>
      <c r="J22" s="316"/>
      <c r="K22" s="316"/>
      <c r="L22" s="316"/>
      <c r="M22" s="316"/>
      <c r="N22" s="316"/>
      <c r="O22" s="316"/>
      <c r="P22" s="316"/>
    </row>
    <row r="23" spans="1:16">
      <c r="A23" s="320" t="s">
        <v>838</v>
      </c>
      <c r="B23" s="327">
        <v>8.9442751877031143E-2</v>
      </c>
      <c r="C23" s="327">
        <v>3.0534386569978082E-2</v>
      </c>
      <c r="D23" s="327">
        <v>2.3168745294253671E-2</v>
      </c>
      <c r="E23" s="327">
        <v>2.0399840673367326E-2</v>
      </c>
      <c r="F23" s="327">
        <v>1.621648490821306E-2</v>
      </c>
      <c r="G23" s="327">
        <v>1.3041413200420472E-2</v>
      </c>
      <c r="H23" s="327">
        <v>2.0645244714245323E-2</v>
      </c>
      <c r="J23" s="316"/>
      <c r="K23" s="316"/>
      <c r="L23" s="316"/>
      <c r="M23" s="316"/>
      <c r="N23" s="316"/>
      <c r="O23" s="316"/>
      <c r="P23" s="316"/>
    </row>
    <row r="24" spans="1:16">
      <c r="A24" s="321"/>
      <c r="J24" s="316"/>
      <c r="K24" s="316"/>
      <c r="L24" s="316"/>
      <c r="M24" s="316"/>
      <c r="N24" s="316"/>
      <c r="O24" s="316"/>
      <c r="P24" s="316"/>
    </row>
    <row r="25" spans="1:16">
      <c r="A25" s="317" t="s">
        <v>828</v>
      </c>
      <c r="B25" s="317"/>
      <c r="C25" s="317"/>
      <c r="D25" s="317"/>
      <c r="E25" s="317"/>
      <c r="F25" s="317"/>
      <c r="G25" s="317"/>
      <c r="H25" s="317"/>
      <c r="J25" s="316"/>
      <c r="K25" s="316"/>
      <c r="L25" s="316"/>
      <c r="M25" s="316"/>
      <c r="N25" s="316"/>
      <c r="O25" s="316"/>
      <c r="P25" s="316"/>
    </row>
    <row r="26" spans="1:16" ht="45.6" customHeight="1">
      <c r="A26" s="320" t="s">
        <v>833</v>
      </c>
      <c r="B26" s="137">
        <v>1391812000</v>
      </c>
      <c r="C26" s="137">
        <v>3993634000</v>
      </c>
      <c r="D26" s="137">
        <v>7821292000</v>
      </c>
      <c r="E26" s="137">
        <v>10394944000</v>
      </c>
      <c r="F26" s="137">
        <v>13272208000</v>
      </c>
      <c r="G26" s="137">
        <v>16713263000</v>
      </c>
      <c r="H26" s="137">
        <v>53587153000</v>
      </c>
      <c r="J26" s="316"/>
      <c r="K26" s="316"/>
      <c r="L26" s="316"/>
      <c r="M26" s="316"/>
      <c r="N26" s="316"/>
      <c r="O26" s="316"/>
      <c r="P26" s="316"/>
    </row>
    <row r="27" spans="1:16" ht="48.6" customHeight="1">
      <c r="A27" s="320" t="s">
        <v>834</v>
      </c>
      <c r="B27" s="137">
        <v>1009943000</v>
      </c>
      <c r="C27" s="137">
        <v>1646842000</v>
      </c>
      <c r="D27" s="137">
        <v>2540974000</v>
      </c>
      <c r="E27" s="137">
        <v>3539737000</v>
      </c>
      <c r="F27" s="137">
        <v>4935736000</v>
      </c>
      <c r="G27" s="137">
        <v>6690862000</v>
      </c>
      <c r="H27" s="137">
        <v>20364094000</v>
      </c>
      <c r="J27" s="316"/>
      <c r="K27" s="316"/>
      <c r="L27" s="316"/>
      <c r="M27" s="316"/>
      <c r="N27" s="316"/>
      <c r="O27" s="316"/>
      <c r="P27" s="316"/>
    </row>
    <row r="28" spans="1:16" ht="45.6" customHeight="1">
      <c r="A28" s="320" t="s">
        <v>835</v>
      </c>
      <c r="B28" s="319">
        <v>0.5794979088208414</v>
      </c>
      <c r="C28" s="319">
        <v>0.70803137891199253</v>
      </c>
      <c r="D28" s="319">
        <v>0.75478587405496056</v>
      </c>
      <c r="E28" s="319">
        <v>0.74597645974098725</v>
      </c>
      <c r="F28" s="319">
        <v>0.72892403447638021</v>
      </c>
      <c r="G28" s="319">
        <v>0.71411612269204683</v>
      </c>
      <c r="H28" s="319">
        <v>0.72462811884700196</v>
      </c>
      <c r="J28" s="316"/>
      <c r="K28" s="316"/>
      <c r="L28" s="316"/>
      <c r="M28" s="316"/>
      <c r="N28" s="316"/>
      <c r="O28" s="316"/>
      <c r="P28" s="316"/>
    </row>
    <row r="29" spans="1:16" ht="63" customHeight="1">
      <c r="A29" s="320" t="s">
        <v>836</v>
      </c>
      <c r="B29" s="319">
        <v>0.4205020911791586</v>
      </c>
      <c r="C29" s="319">
        <v>0.29196862108800747</v>
      </c>
      <c r="D29" s="319">
        <v>0.24521412594503944</v>
      </c>
      <c r="E29" s="319">
        <v>0.25402354025901275</v>
      </c>
      <c r="F29" s="319">
        <v>0.27107596552361979</v>
      </c>
      <c r="G29" s="319">
        <v>0.28588387730795317</v>
      </c>
      <c r="H29" s="319">
        <v>0.27537188115299799</v>
      </c>
      <c r="J29" s="316"/>
      <c r="K29" s="316"/>
      <c r="L29" s="316"/>
      <c r="M29" s="316"/>
      <c r="N29" s="316"/>
      <c r="O29" s="316"/>
      <c r="P29" s="316"/>
    </row>
    <row r="30" spans="1:16">
      <c r="J30" s="316"/>
      <c r="K30" s="316"/>
      <c r="L30" s="316"/>
      <c r="M30" s="316"/>
      <c r="N30" s="316"/>
      <c r="O30" s="316"/>
      <c r="P30" s="316"/>
    </row>
    <row r="31" spans="1:16">
      <c r="A31" s="317" t="s">
        <v>829</v>
      </c>
      <c r="B31" s="322">
        <v>22453000</v>
      </c>
      <c r="C31" s="322">
        <v>44906000</v>
      </c>
      <c r="D31" s="322">
        <v>89813000</v>
      </c>
      <c r="E31" s="322">
        <v>89813000</v>
      </c>
      <c r="F31" s="322">
        <v>89813000</v>
      </c>
      <c r="G31" s="322">
        <v>89813000</v>
      </c>
      <c r="H31" s="322">
        <v>426611000</v>
      </c>
      <c r="J31" s="316"/>
      <c r="K31" s="316"/>
      <c r="L31" s="316"/>
      <c r="M31" s="316"/>
      <c r="N31" s="316"/>
      <c r="O31" s="316"/>
      <c r="P31" s="316"/>
    </row>
    <row r="32" spans="1:16">
      <c r="A32" s="320" t="s">
        <v>830</v>
      </c>
      <c r="B32" s="137">
        <v>22453000</v>
      </c>
      <c r="C32" s="137">
        <v>44906000</v>
      </c>
      <c r="D32" s="137">
        <v>89813000</v>
      </c>
      <c r="E32" s="137">
        <v>89813000</v>
      </c>
      <c r="F32" s="137">
        <v>89813000</v>
      </c>
      <c r="G32" s="137">
        <v>89813000</v>
      </c>
      <c r="H32" s="137">
        <v>426611000</v>
      </c>
      <c r="J32" s="316"/>
      <c r="K32" s="316"/>
      <c r="L32" s="316"/>
      <c r="M32" s="316"/>
      <c r="N32" s="316"/>
      <c r="O32" s="316"/>
      <c r="P32" s="316"/>
    </row>
    <row r="33" spans="1:16">
      <c r="A33" s="320" t="s">
        <v>831</v>
      </c>
      <c r="B33" s="323">
        <v>8.5124177495643893E-3</v>
      </c>
      <c r="C33" s="323">
        <v>7.7182888175906725E-3</v>
      </c>
      <c r="D33" s="323">
        <v>8.4665019677054414E-3</v>
      </c>
      <c r="E33" s="323">
        <v>6.3138028857354436E-3</v>
      </c>
      <c r="F33" s="323">
        <v>4.8526373346127749E-3</v>
      </c>
      <c r="G33" s="323">
        <v>3.7874396738280382E-3</v>
      </c>
      <c r="H33" s="323">
        <v>5.6497155687883277E-3</v>
      </c>
      <c r="J33" s="316"/>
      <c r="K33" s="316"/>
      <c r="L33" s="316"/>
      <c r="M33" s="316"/>
      <c r="N33" s="316"/>
      <c r="O33" s="316"/>
      <c r="P33" s="316"/>
    </row>
    <row r="34" spans="1:16">
      <c r="B34" s="316"/>
      <c r="C34" s="316"/>
      <c r="D34" s="316"/>
      <c r="E34" s="316"/>
      <c r="F34" s="316"/>
      <c r="G34" s="316"/>
    </row>
    <row r="35" spans="1:16">
      <c r="B35" s="324"/>
      <c r="C35" s="324"/>
      <c r="D35" s="324"/>
      <c r="E35" s="324"/>
      <c r="F35" s="324"/>
      <c r="G35" s="3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13F1-2A9D-463B-9161-161637D36E56}">
  <sheetPr codeName="Sheet4"/>
  <dimension ref="B2:M29"/>
  <sheetViews>
    <sheetView zoomScale="78" zoomScaleNormal="40" workbookViewId="0">
      <selection activeCell="C12" sqref="C12:C14"/>
    </sheetView>
  </sheetViews>
  <sheetFormatPr defaultColWidth="8.88671875" defaultRowHeight="15.6"/>
  <cols>
    <col min="1" max="1" width="5.33203125" style="138" customWidth="1"/>
    <col min="2" max="2" width="14.33203125" style="138" customWidth="1"/>
    <col min="3" max="3" width="195.33203125" style="138" customWidth="1"/>
    <col min="4" max="4" width="44.6640625" style="138" bestFit="1" customWidth="1"/>
    <col min="5" max="5" width="24.5546875" style="138" bestFit="1" customWidth="1"/>
    <col min="6" max="6" width="75.33203125" style="138" customWidth="1"/>
    <col min="7" max="7" width="59.88671875" style="138" bestFit="1" customWidth="1"/>
    <col min="8" max="8" width="23" style="138" bestFit="1" customWidth="1"/>
    <col min="9" max="9" width="42.44140625" style="138" bestFit="1" customWidth="1"/>
    <col min="10" max="10" width="29.6640625" style="138" bestFit="1" customWidth="1"/>
    <col min="11" max="11" width="56.5546875" style="138" bestFit="1" customWidth="1"/>
    <col min="12" max="12" width="33.33203125" style="138" bestFit="1" customWidth="1"/>
    <col min="13" max="13" width="70.5546875" style="138" bestFit="1" customWidth="1"/>
    <col min="14" max="16384" width="8.88671875" style="138"/>
  </cols>
  <sheetData>
    <row r="2" spans="2:13">
      <c r="B2" s="11" t="s">
        <v>0</v>
      </c>
      <c r="C2" s="11" t="s">
        <v>286</v>
      </c>
      <c r="D2" s="11" t="s">
        <v>287</v>
      </c>
      <c r="E2" s="11" t="s">
        <v>288</v>
      </c>
      <c r="F2" s="11" t="s">
        <v>289</v>
      </c>
      <c r="G2" s="11" t="s">
        <v>290</v>
      </c>
      <c r="H2" s="11" t="s">
        <v>291</v>
      </c>
      <c r="I2" s="11" t="s">
        <v>292</v>
      </c>
      <c r="J2" s="11" t="s">
        <v>293</v>
      </c>
      <c r="K2" s="11" t="s">
        <v>294</v>
      </c>
      <c r="L2" s="11" t="s">
        <v>295</v>
      </c>
      <c r="M2" s="11" t="s">
        <v>296</v>
      </c>
    </row>
    <row r="3" spans="2:13" ht="53.4" customHeight="1">
      <c r="B3" s="16" t="s">
        <v>297</v>
      </c>
      <c r="C3" s="16" t="s">
        <v>298</v>
      </c>
      <c r="D3" s="16" t="s">
        <v>299</v>
      </c>
      <c r="E3" s="16" t="s">
        <v>300</v>
      </c>
      <c r="F3" s="16" t="s">
        <v>301</v>
      </c>
      <c r="G3" s="16" t="s">
        <v>302</v>
      </c>
      <c r="H3" s="16" t="s">
        <v>303</v>
      </c>
      <c r="I3" s="16" t="s">
        <v>304</v>
      </c>
      <c r="J3" s="16" t="s">
        <v>305</v>
      </c>
      <c r="K3" s="16" t="s">
        <v>306</v>
      </c>
      <c r="L3" s="16" t="s">
        <v>307</v>
      </c>
      <c r="M3" s="16" t="s">
        <v>308</v>
      </c>
    </row>
    <row r="4" spans="2:13">
      <c r="B4" s="15"/>
      <c r="C4" s="16"/>
      <c r="D4" s="15"/>
      <c r="E4" s="15"/>
      <c r="F4" s="15"/>
      <c r="G4" s="15"/>
      <c r="H4" s="15"/>
      <c r="I4" s="15"/>
      <c r="J4" s="15"/>
      <c r="K4" s="15"/>
      <c r="L4" s="15"/>
      <c r="M4" s="15"/>
    </row>
    <row r="5" spans="2:13">
      <c r="B5" s="15"/>
      <c r="C5" s="16"/>
      <c r="D5" s="15"/>
      <c r="E5" s="15"/>
      <c r="F5" s="15"/>
      <c r="G5" s="15"/>
      <c r="H5" s="15"/>
      <c r="I5" s="15"/>
      <c r="J5" s="15"/>
      <c r="K5" s="15"/>
      <c r="L5" s="15"/>
      <c r="M5" s="15"/>
    </row>
    <row r="6" spans="2:13">
      <c r="B6" s="15"/>
      <c r="C6" s="16"/>
      <c r="D6" s="15"/>
      <c r="E6" s="15"/>
      <c r="F6" s="15"/>
      <c r="G6" s="15"/>
      <c r="H6" s="15"/>
      <c r="I6" s="15"/>
      <c r="J6" s="15"/>
      <c r="K6" s="15"/>
      <c r="L6" s="15"/>
      <c r="M6" s="15"/>
    </row>
    <row r="7" spans="2:13">
      <c r="B7" s="15"/>
      <c r="C7" s="16"/>
      <c r="D7" s="139"/>
      <c r="E7" s="139"/>
      <c r="F7" s="139"/>
      <c r="G7" s="139"/>
      <c r="H7" s="139"/>
      <c r="I7" s="139"/>
      <c r="J7" s="139"/>
      <c r="K7" s="139"/>
      <c r="L7" s="139"/>
      <c r="M7" s="139"/>
    </row>
    <row r="8" spans="2:13">
      <c r="B8" s="15"/>
      <c r="C8" s="16"/>
      <c r="D8" s="139"/>
      <c r="E8" s="139"/>
      <c r="F8" s="139"/>
      <c r="G8" s="139"/>
      <c r="H8" s="139"/>
      <c r="I8" s="139"/>
      <c r="J8" s="139"/>
      <c r="K8" s="139"/>
      <c r="L8" s="139"/>
      <c r="M8" s="139"/>
    </row>
    <row r="9" spans="2:13">
      <c r="B9" s="15"/>
      <c r="C9" s="16"/>
      <c r="D9" s="139"/>
      <c r="E9" s="139"/>
      <c r="F9" s="139"/>
      <c r="G9" s="139"/>
      <c r="H9" s="139"/>
      <c r="I9" s="139"/>
      <c r="J9" s="139"/>
      <c r="K9" s="139"/>
      <c r="L9" s="139"/>
      <c r="M9" s="139"/>
    </row>
    <row r="10" spans="2:13">
      <c r="B10" s="15"/>
      <c r="C10" s="16"/>
      <c r="D10" s="139"/>
      <c r="E10" s="139"/>
      <c r="F10" s="139"/>
      <c r="G10" s="139"/>
      <c r="H10" s="139"/>
      <c r="I10" s="139"/>
      <c r="J10" s="139"/>
      <c r="K10" s="139"/>
      <c r="L10" s="139"/>
      <c r="M10" s="139"/>
    </row>
    <row r="11" spans="2:13">
      <c r="B11" s="15"/>
      <c r="C11" s="16"/>
      <c r="D11" s="139"/>
      <c r="E11" s="139"/>
      <c r="F11" s="139"/>
      <c r="G11" s="139"/>
      <c r="H11" s="139"/>
      <c r="I11" s="139"/>
      <c r="J11" s="160"/>
      <c r="K11" s="139"/>
      <c r="L11" s="160"/>
      <c r="M11" s="161"/>
    </row>
    <row r="12" spans="2:13">
      <c r="B12" s="15"/>
      <c r="C12" s="16"/>
      <c r="D12" s="139"/>
      <c r="E12" s="139"/>
      <c r="F12" s="139"/>
      <c r="G12" s="139"/>
      <c r="H12" s="139"/>
      <c r="I12" s="139"/>
      <c r="J12" s="139"/>
      <c r="K12" s="139"/>
      <c r="L12" s="139"/>
      <c r="M12" s="139"/>
    </row>
    <row r="13" spans="2:13">
      <c r="B13" s="15"/>
      <c r="C13" s="16"/>
      <c r="D13" s="139"/>
      <c r="E13" s="139"/>
      <c r="F13" s="139"/>
      <c r="G13" s="139"/>
      <c r="H13" s="139"/>
      <c r="I13" s="139"/>
      <c r="J13" s="139"/>
      <c r="K13" s="139"/>
      <c r="L13" s="139"/>
      <c r="M13" s="139"/>
    </row>
    <row r="14" spans="2:13">
      <c r="B14" s="15"/>
      <c r="C14" s="16"/>
      <c r="D14" s="139"/>
      <c r="E14" s="139"/>
      <c r="F14" s="139"/>
      <c r="G14" s="139"/>
      <c r="H14" s="139"/>
      <c r="I14" s="139"/>
      <c r="J14" s="139"/>
      <c r="K14" s="139"/>
      <c r="L14" s="139"/>
      <c r="M14" s="139"/>
    </row>
    <row r="15" spans="2:13">
      <c r="B15" s="15"/>
      <c r="C15" s="16"/>
      <c r="D15" s="139"/>
      <c r="E15" s="139"/>
      <c r="F15" s="139"/>
      <c r="G15" s="139"/>
      <c r="H15" s="139"/>
      <c r="I15" s="139"/>
      <c r="J15" s="139"/>
      <c r="K15" s="139"/>
      <c r="L15" s="139"/>
      <c r="M15" s="139"/>
    </row>
    <row r="16" spans="2:13">
      <c r="B16" s="15"/>
      <c r="C16" s="16"/>
      <c r="D16" s="139"/>
      <c r="E16" s="139"/>
      <c r="F16" s="139"/>
      <c r="G16" s="139"/>
      <c r="H16" s="139"/>
      <c r="I16" s="139"/>
      <c r="J16" s="139"/>
      <c r="K16" s="139"/>
      <c r="L16" s="139"/>
      <c r="M16" s="139"/>
    </row>
    <row r="17" spans="2:13">
      <c r="B17" s="15"/>
      <c r="C17" s="16"/>
      <c r="D17" s="139"/>
      <c r="E17" s="139"/>
      <c r="F17" s="139"/>
      <c r="G17" s="139"/>
      <c r="H17" s="139"/>
      <c r="I17" s="139"/>
      <c r="J17" s="139"/>
      <c r="K17" s="139"/>
      <c r="L17" s="139"/>
      <c r="M17" s="139"/>
    </row>
    <row r="18" spans="2:13">
      <c r="B18" s="15"/>
      <c r="C18" s="16"/>
      <c r="D18" s="139"/>
      <c r="E18" s="139"/>
      <c r="F18" s="139"/>
      <c r="G18" s="139"/>
      <c r="H18" s="139"/>
      <c r="I18" s="139"/>
      <c r="J18" s="139"/>
      <c r="K18" s="139"/>
      <c r="L18" s="139"/>
      <c r="M18" s="139"/>
    </row>
    <row r="19" spans="2:13">
      <c r="B19" s="15"/>
      <c r="C19" s="16"/>
      <c r="D19" s="139"/>
      <c r="E19" s="139"/>
      <c r="F19" s="139"/>
      <c r="G19" s="139"/>
      <c r="H19" s="139"/>
      <c r="I19" s="139"/>
      <c r="J19" s="139"/>
      <c r="K19" s="139"/>
      <c r="L19" s="139"/>
      <c r="M19" s="139"/>
    </row>
    <row r="20" spans="2:13">
      <c r="B20" s="15"/>
      <c r="C20" s="16"/>
      <c r="D20" s="139"/>
      <c r="E20" s="139"/>
      <c r="F20" s="139"/>
      <c r="G20" s="139"/>
      <c r="H20" s="139"/>
      <c r="I20" s="139"/>
      <c r="J20" s="139"/>
      <c r="K20" s="139"/>
      <c r="L20" s="139"/>
      <c r="M20" s="139"/>
    </row>
    <row r="21" spans="2:13">
      <c r="B21" s="15"/>
      <c r="C21" s="16"/>
      <c r="D21" s="139"/>
      <c r="E21" s="139"/>
      <c r="F21" s="139"/>
      <c r="G21" s="139"/>
      <c r="H21" s="139"/>
      <c r="I21" s="139"/>
      <c r="J21" s="139"/>
      <c r="K21" s="139"/>
      <c r="L21" s="139"/>
      <c r="M21" s="139"/>
    </row>
    <row r="22" spans="2:13">
      <c r="B22" s="15"/>
      <c r="C22" s="16"/>
      <c r="D22" s="139"/>
      <c r="E22" s="139"/>
      <c r="F22" s="139"/>
      <c r="G22" s="139"/>
      <c r="H22" s="139"/>
      <c r="I22" s="139"/>
      <c r="J22" s="139"/>
      <c r="K22" s="139"/>
      <c r="L22" s="139"/>
      <c r="M22" s="139"/>
    </row>
    <row r="23" spans="2:13">
      <c r="B23" s="15"/>
      <c r="C23" s="16"/>
      <c r="D23" s="139"/>
      <c r="E23" s="139"/>
      <c r="F23" s="139"/>
      <c r="G23" s="139"/>
      <c r="H23" s="139"/>
      <c r="I23" s="139"/>
      <c r="J23" s="139"/>
      <c r="K23" s="139"/>
      <c r="L23" s="139"/>
      <c r="M23" s="139"/>
    </row>
    <row r="24" spans="2:13">
      <c r="B24" s="15"/>
      <c r="C24" s="16"/>
      <c r="D24" s="139"/>
      <c r="E24" s="139"/>
      <c r="F24" s="139"/>
      <c r="G24" s="139"/>
      <c r="H24" s="139"/>
      <c r="I24" s="139"/>
      <c r="J24" s="139"/>
      <c r="K24" s="139"/>
      <c r="L24" s="139"/>
      <c r="M24" s="139"/>
    </row>
    <row r="25" spans="2:13">
      <c r="B25" s="15"/>
      <c r="C25" s="16"/>
      <c r="D25" s="139"/>
      <c r="E25" s="139"/>
      <c r="F25" s="139"/>
      <c r="G25" s="139"/>
      <c r="H25" s="139"/>
      <c r="I25" s="139"/>
      <c r="J25" s="139"/>
      <c r="K25" s="139"/>
      <c r="L25" s="139"/>
      <c r="M25" s="139"/>
    </row>
    <row r="26" spans="2:13">
      <c r="B26" s="15"/>
      <c r="C26" s="16"/>
      <c r="D26" s="139"/>
      <c r="E26" s="139"/>
      <c r="F26" s="139"/>
      <c r="G26" s="139"/>
      <c r="H26" s="139"/>
      <c r="I26" s="139"/>
      <c r="J26" s="139"/>
      <c r="K26" s="139"/>
      <c r="L26" s="139"/>
      <c r="M26" s="139"/>
    </row>
    <row r="27" spans="2:13">
      <c r="B27" s="15"/>
      <c r="C27" s="16"/>
      <c r="D27" s="139"/>
      <c r="E27" s="139"/>
      <c r="F27" s="139"/>
      <c r="G27" s="139"/>
      <c r="H27" s="139"/>
      <c r="I27" s="139"/>
      <c r="J27" s="139"/>
      <c r="K27" s="139"/>
      <c r="L27" s="139"/>
      <c r="M27" s="139"/>
    </row>
    <row r="28" spans="2:13">
      <c r="B28" s="15"/>
      <c r="C28" s="16"/>
      <c r="D28" s="139"/>
      <c r="E28" s="139"/>
      <c r="F28" s="139"/>
      <c r="G28" s="139"/>
      <c r="H28" s="139"/>
      <c r="I28" s="139"/>
      <c r="J28" s="139"/>
      <c r="K28" s="139"/>
      <c r="L28" s="139"/>
      <c r="M28" s="139"/>
    </row>
    <row r="29" spans="2:13">
      <c r="B29" s="15"/>
      <c r="C29" s="16"/>
      <c r="D29" s="139"/>
      <c r="E29" s="139"/>
      <c r="F29" s="139"/>
      <c r="G29" s="139"/>
      <c r="H29" s="139"/>
      <c r="I29" s="139"/>
      <c r="J29" s="139"/>
      <c r="K29" s="139"/>
      <c r="L29" s="139"/>
      <c r="M29" s="13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3CA2-3F5B-4577-8A2F-41B84BFC13A3}">
  <sheetPr codeName="Sheet7"/>
  <dimension ref="A1:AJ117"/>
  <sheetViews>
    <sheetView topLeftCell="B5" zoomScale="76" zoomScaleNormal="100" workbookViewId="0">
      <selection activeCell="H29" sqref="H29"/>
    </sheetView>
  </sheetViews>
  <sheetFormatPr defaultColWidth="8.88671875" defaultRowHeight="14.4"/>
  <cols>
    <col min="1" max="1" width="8.88671875" style="27"/>
    <col min="2" max="2" width="15.33203125" style="27" bestFit="1" customWidth="1"/>
    <col min="3" max="3" width="107.5546875" style="27" bestFit="1" customWidth="1"/>
    <col min="4" max="4" width="16.6640625" style="27" customWidth="1"/>
    <col min="5" max="5" width="18.44140625" style="27" customWidth="1"/>
    <col min="6" max="6" width="45" style="27" customWidth="1"/>
    <col min="7" max="7" width="10" style="27" customWidth="1"/>
    <col min="8" max="8" width="17.33203125" style="27" bestFit="1" customWidth="1"/>
    <col min="9" max="13" width="18.44140625" style="27" bestFit="1" customWidth="1"/>
    <col min="14" max="14" width="18.33203125" style="27" bestFit="1" customWidth="1"/>
    <col min="15" max="16" width="16.5546875" style="27" bestFit="1" customWidth="1"/>
    <col min="17" max="17" width="15.44140625" style="27" bestFit="1" customWidth="1"/>
    <col min="18" max="16384" width="8.88671875" style="27"/>
  </cols>
  <sheetData>
    <row r="1" spans="1:36" ht="18">
      <c r="B1" s="369" t="s">
        <v>309</v>
      </c>
      <c r="C1" s="369"/>
      <c r="D1" s="369"/>
    </row>
    <row r="2" spans="1:36">
      <c r="B2" s="370" t="s">
        <v>310</v>
      </c>
      <c r="C2" s="371"/>
      <c r="D2" s="97">
        <v>8.9099999999999999E-2</v>
      </c>
    </row>
    <row r="3" spans="1:36">
      <c r="B3" s="372" t="s">
        <v>311</v>
      </c>
      <c r="C3" s="373"/>
      <c r="D3" s="132">
        <v>0.04</v>
      </c>
    </row>
    <row r="4" spans="1:36">
      <c r="B4" s="372" t="s">
        <v>832</v>
      </c>
      <c r="C4" s="373"/>
      <c r="D4" s="147">
        <v>396.56</v>
      </c>
    </row>
    <row r="7" spans="1:36" ht="23.4" customHeight="1">
      <c r="B7" s="369" t="s">
        <v>312</v>
      </c>
      <c r="C7" s="369"/>
      <c r="D7" s="369"/>
      <c r="F7" s="31" t="s">
        <v>313</v>
      </c>
    </row>
    <row r="8" spans="1:36" customFormat="1">
      <c r="A8" s="27"/>
      <c r="B8" s="9" t="s">
        <v>0</v>
      </c>
      <c r="C8" s="9" t="s">
        <v>314</v>
      </c>
      <c r="D8" s="9" t="s">
        <v>315</v>
      </c>
      <c r="E8" s="27"/>
      <c r="F8" s="32"/>
      <c r="G8" s="34">
        <v>2024</v>
      </c>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customFormat="1">
      <c r="A9" s="27"/>
      <c r="B9" s="5" t="s">
        <v>316</v>
      </c>
      <c r="C9" s="6" t="s">
        <v>317</v>
      </c>
      <c r="D9" s="110">
        <v>10000000</v>
      </c>
      <c r="E9" s="88"/>
      <c r="F9" s="35" t="s">
        <v>318</v>
      </c>
      <c r="G9" s="37">
        <v>3057.6666666666665</v>
      </c>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6" customFormat="1">
      <c r="A10" s="27"/>
      <c r="B10" s="5" t="s">
        <v>319</v>
      </c>
      <c r="C10" s="8" t="s">
        <v>320</v>
      </c>
      <c r="D10" s="110">
        <v>1147384</v>
      </c>
      <c r="E10" s="88"/>
      <c r="F10" s="35" t="s">
        <v>321</v>
      </c>
      <c r="G10" s="38">
        <f>G12+G11</f>
        <v>46200</v>
      </c>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6" customFormat="1">
      <c r="A11" s="27"/>
      <c r="B11" s="5" t="s">
        <v>319</v>
      </c>
      <c r="C11" s="29" t="s">
        <v>322</v>
      </c>
      <c r="D11" s="110">
        <v>50000</v>
      </c>
      <c r="E11" s="88"/>
      <c r="F11" s="50" t="s">
        <v>323</v>
      </c>
      <c r="G11" s="38">
        <v>11300</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pans="1:36" customFormat="1">
      <c r="A12" s="27"/>
      <c r="B12" s="5" t="s">
        <v>324</v>
      </c>
      <c r="C12" s="6" t="s">
        <v>325</v>
      </c>
      <c r="D12" s="110">
        <v>20</v>
      </c>
      <c r="E12" s="88"/>
      <c r="F12" s="50" t="s">
        <v>326</v>
      </c>
      <c r="G12" s="38">
        <v>34900</v>
      </c>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row>
    <row r="13" spans="1:36" customFormat="1">
      <c r="A13" s="27"/>
      <c r="B13" s="5" t="s">
        <v>327</v>
      </c>
      <c r="C13" s="8" t="s">
        <v>328</v>
      </c>
      <c r="D13" s="30">
        <v>0.5</v>
      </c>
      <c r="E13" s="89"/>
      <c r="F13" s="53" t="s">
        <v>329</v>
      </c>
      <c r="G13" s="38">
        <f>G15+G14</f>
        <v>8200</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1:36" customFormat="1">
      <c r="A14" s="27"/>
      <c r="B14" s="5" t="s">
        <v>327</v>
      </c>
      <c r="C14" s="6" t="s">
        <v>330</v>
      </c>
      <c r="D14" s="7">
        <v>10000000</v>
      </c>
      <c r="E14" s="88"/>
      <c r="F14" s="96" t="s">
        <v>323</v>
      </c>
      <c r="G14" s="134">
        <v>2900</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1:36" customFormat="1" ht="15" customHeight="1">
      <c r="A15" s="27"/>
      <c r="B15" s="5" t="s">
        <v>327</v>
      </c>
      <c r="C15" s="6" t="s">
        <v>331</v>
      </c>
      <c r="D15" s="7">
        <v>48</v>
      </c>
      <c r="E15" s="88"/>
      <c r="F15" s="51" t="s">
        <v>326</v>
      </c>
      <c r="G15" s="40">
        <v>5300</v>
      </c>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6" customFormat="1">
      <c r="A16" s="27"/>
      <c r="B16" s="5" t="s">
        <v>327</v>
      </c>
      <c r="C16" s="8" t="s">
        <v>332</v>
      </c>
      <c r="D16" s="7">
        <v>9</v>
      </c>
      <c r="E16" s="88"/>
      <c r="F16" s="52"/>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row>
    <row r="17" spans="1:36" customFormat="1">
      <c r="A17" s="27"/>
      <c r="B17" s="5" t="s">
        <v>327</v>
      </c>
      <c r="C17" s="8" t="s">
        <v>333</v>
      </c>
      <c r="D17" s="30">
        <v>0.14000000000000001</v>
      </c>
      <c r="E17" s="88"/>
      <c r="F17" s="31" t="s">
        <v>312</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row>
    <row r="18" spans="1:36" customFormat="1">
      <c r="A18" s="27"/>
      <c r="B18" s="5" t="s">
        <v>327</v>
      </c>
      <c r="C18" s="8" t="s">
        <v>334</v>
      </c>
      <c r="D18" s="30">
        <v>0.9</v>
      </c>
      <c r="E18" s="27"/>
      <c r="F18" s="32"/>
      <c r="G18" s="33">
        <v>2024</v>
      </c>
      <c r="H18" s="33">
        <v>2025</v>
      </c>
      <c r="I18" s="33">
        <v>2026</v>
      </c>
      <c r="J18" s="33">
        <v>2027</v>
      </c>
      <c r="K18" s="33">
        <v>2028</v>
      </c>
      <c r="L18" s="33">
        <v>2029</v>
      </c>
      <c r="M18" s="33">
        <v>2030</v>
      </c>
      <c r="N18" s="33">
        <v>2031</v>
      </c>
      <c r="O18" s="33">
        <v>2032</v>
      </c>
      <c r="P18" s="34">
        <v>2033</v>
      </c>
      <c r="Q18" s="27"/>
      <c r="R18" s="27"/>
      <c r="S18" s="27"/>
      <c r="T18" s="27"/>
      <c r="U18" s="27"/>
      <c r="V18" s="27"/>
      <c r="W18" s="27"/>
      <c r="X18" s="27"/>
      <c r="Y18" s="27"/>
      <c r="Z18" s="27"/>
      <c r="AA18" s="27"/>
      <c r="AB18" s="27"/>
      <c r="AC18" s="27"/>
      <c r="AD18" s="27"/>
      <c r="AE18" s="27"/>
      <c r="AF18" s="27"/>
      <c r="AG18" s="27"/>
      <c r="AH18" s="27"/>
      <c r="AI18" s="27"/>
      <c r="AJ18" s="27"/>
    </row>
    <row r="19" spans="1:36" customFormat="1">
      <c r="A19" s="27"/>
      <c r="B19" s="5" t="s">
        <v>335</v>
      </c>
      <c r="C19" s="8" t="s">
        <v>336</v>
      </c>
      <c r="D19" s="30">
        <v>0.7</v>
      </c>
      <c r="E19" s="27"/>
      <c r="F19" s="48" t="s">
        <v>337</v>
      </c>
      <c r="G19" s="27"/>
      <c r="H19" s="135">
        <v>5</v>
      </c>
      <c r="I19" s="135">
        <v>10</v>
      </c>
      <c r="J19" s="135">
        <v>20</v>
      </c>
      <c r="K19" s="135">
        <v>20</v>
      </c>
      <c r="L19" s="135">
        <v>20</v>
      </c>
      <c r="M19" s="135">
        <v>20</v>
      </c>
      <c r="N19" s="27"/>
      <c r="O19" s="27"/>
      <c r="P19" s="38"/>
      <c r="Q19" s="27"/>
      <c r="R19" s="27"/>
      <c r="S19" s="27"/>
      <c r="T19" s="27"/>
      <c r="U19" s="27"/>
      <c r="V19" s="27"/>
      <c r="W19" s="27"/>
      <c r="X19" s="27"/>
      <c r="Y19" s="27"/>
      <c r="Z19" s="27"/>
      <c r="AA19" s="27"/>
      <c r="AB19" s="27"/>
      <c r="AC19" s="27"/>
      <c r="AD19" s="27"/>
      <c r="AE19" s="27"/>
      <c r="AF19" s="27"/>
      <c r="AG19" s="27"/>
      <c r="AH19" s="27"/>
      <c r="AI19" s="27"/>
      <c r="AJ19" s="27"/>
    </row>
    <row r="20" spans="1:36" customFormat="1">
      <c r="A20" s="27"/>
      <c r="B20" s="5" t="s">
        <v>335</v>
      </c>
      <c r="C20" s="8" t="s">
        <v>338</v>
      </c>
      <c r="D20" s="7">
        <v>15000000</v>
      </c>
      <c r="E20" s="27"/>
      <c r="F20" s="48" t="s">
        <v>339</v>
      </c>
      <c r="G20" s="27"/>
      <c r="H20" s="41">
        <f>H19*$D$12</f>
        <v>100</v>
      </c>
      <c r="I20" s="41">
        <f>I19*D12</f>
        <v>200</v>
      </c>
      <c r="J20" s="41">
        <f>J19*D12</f>
        <v>400</v>
      </c>
      <c r="K20" s="41">
        <f>K19*D12</f>
        <v>400</v>
      </c>
      <c r="L20" s="41">
        <f>L19*D12</f>
        <v>400</v>
      </c>
      <c r="M20" s="41">
        <f>M19*D12</f>
        <v>400</v>
      </c>
      <c r="N20" s="27"/>
      <c r="O20" s="27"/>
      <c r="P20" s="38"/>
      <c r="Q20" s="27"/>
      <c r="R20" s="27"/>
      <c r="S20" s="27"/>
      <c r="T20" s="27"/>
      <c r="U20" s="27"/>
      <c r="V20" s="27"/>
      <c r="W20" s="27"/>
      <c r="X20" s="27"/>
      <c r="Y20" s="27"/>
      <c r="Z20" s="27"/>
      <c r="AA20" s="27"/>
      <c r="AB20" s="27"/>
      <c r="AC20" s="27"/>
      <c r="AD20" s="27"/>
      <c r="AE20" s="27"/>
      <c r="AF20" s="27"/>
      <c r="AG20" s="27"/>
      <c r="AH20" s="27"/>
      <c r="AI20" s="27"/>
      <c r="AJ20" s="27"/>
    </row>
    <row r="21" spans="1:36" customFormat="1">
      <c r="A21" s="27"/>
      <c r="B21" s="5" t="s">
        <v>340</v>
      </c>
      <c r="C21" s="8" t="s">
        <v>341</v>
      </c>
      <c r="D21" s="30">
        <v>0.7</v>
      </c>
      <c r="E21" s="27"/>
      <c r="F21" s="48" t="s">
        <v>342</v>
      </c>
      <c r="G21" s="27"/>
      <c r="H21" s="41">
        <f t="shared" ref="H21:M21" si="0">$D$18*H20*$D$13</f>
        <v>45</v>
      </c>
      <c r="I21" s="41">
        <f t="shared" si="0"/>
        <v>90</v>
      </c>
      <c r="J21" s="41">
        <f t="shared" si="0"/>
        <v>180</v>
      </c>
      <c r="K21" s="41">
        <f t="shared" si="0"/>
        <v>180</v>
      </c>
      <c r="L21" s="41">
        <f t="shared" si="0"/>
        <v>180</v>
      </c>
      <c r="M21" s="41">
        <f t="shared" si="0"/>
        <v>180</v>
      </c>
      <c r="N21" s="27"/>
      <c r="O21" s="27"/>
      <c r="P21" s="38"/>
      <c r="Q21" s="27"/>
      <c r="R21" s="27"/>
      <c r="S21" s="27"/>
      <c r="T21" s="27"/>
      <c r="U21" s="27"/>
      <c r="V21" s="27"/>
      <c r="W21" s="27"/>
      <c r="X21" s="27"/>
      <c r="Y21" s="27"/>
      <c r="Z21" s="27"/>
      <c r="AA21" s="27"/>
      <c r="AB21" s="27"/>
      <c r="AC21" s="27"/>
      <c r="AD21" s="27"/>
      <c r="AE21" s="27"/>
      <c r="AF21" s="27"/>
      <c r="AG21" s="27"/>
      <c r="AH21" s="27"/>
      <c r="AI21" s="27"/>
      <c r="AJ21" s="27"/>
    </row>
    <row r="22" spans="1:36" customFormat="1">
      <c r="A22" s="27"/>
      <c r="B22" s="5" t="s">
        <v>340</v>
      </c>
      <c r="C22" s="8" t="s">
        <v>343</v>
      </c>
      <c r="D22" s="30">
        <v>0.8</v>
      </c>
      <c r="E22" s="27"/>
      <c r="F22" s="48" t="s">
        <v>344</v>
      </c>
      <c r="G22" s="27"/>
      <c r="H22" s="45">
        <f>calculations!K23</f>
        <v>36872495.980280973</v>
      </c>
      <c r="I22" s="45">
        <f>calculations!L23</f>
        <v>101957230.99022752</v>
      </c>
      <c r="J22" s="45">
        <f>calculations!M23</f>
        <v>222173103.71304494</v>
      </c>
      <c r="K22" s="45">
        <f>calculations!N23</f>
        <v>303674777.52222407</v>
      </c>
      <c r="L22" s="45">
        <f>calculations!O23</f>
        <v>347010615.00466192</v>
      </c>
      <c r="M22" s="45">
        <f>calculations!P23</f>
        <v>360647723.03917801</v>
      </c>
      <c r="N22" s="45">
        <f>calculations!Q23</f>
        <v>213157739.11805409</v>
      </c>
      <c r="O22" s="45">
        <f>calculations!R23</f>
        <v>100308782.99939178</v>
      </c>
      <c r="P22" s="46">
        <f>calculations!S23</f>
        <v>27274216.069032207</v>
      </c>
      <c r="Q22" s="27"/>
      <c r="R22" s="27"/>
      <c r="S22" s="27"/>
      <c r="T22" s="27"/>
      <c r="U22" s="27"/>
      <c r="V22" s="27"/>
      <c r="W22" s="27"/>
      <c r="X22" s="27"/>
      <c r="Y22" s="27"/>
      <c r="Z22" s="27"/>
      <c r="AA22" s="27"/>
      <c r="AB22" s="27"/>
      <c r="AC22" s="27"/>
      <c r="AD22" s="27"/>
      <c r="AE22" s="27"/>
      <c r="AF22" s="27"/>
      <c r="AG22" s="27"/>
      <c r="AH22" s="27"/>
      <c r="AI22" s="27"/>
      <c r="AJ22" s="27"/>
    </row>
    <row r="23" spans="1:36" customFormat="1">
      <c r="A23" s="27"/>
      <c r="B23" s="5" t="s">
        <v>340</v>
      </c>
      <c r="C23" s="8" t="s">
        <v>345</v>
      </c>
      <c r="D23" s="30">
        <v>0.3</v>
      </c>
      <c r="E23" s="27"/>
      <c r="F23" s="48" t="s">
        <v>346</v>
      </c>
      <c r="G23" s="27"/>
      <c r="H23" s="41">
        <f>H20*$D$13*(1-$D$18)</f>
        <v>4.9999999999999991</v>
      </c>
      <c r="I23" s="41">
        <f t="shared" ref="I23:M23" si="1">I20*$D$13*(1-$D$18)</f>
        <v>9.9999999999999982</v>
      </c>
      <c r="J23" s="41">
        <f t="shared" si="1"/>
        <v>19.999999999999996</v>
      </c>
      <c r="K23" s="41">
        <f t="shared" si="1"/>
        <v>19.999999999999996</v>
      </c>
      <c r="L23" s="41">
        <f t="shared" si="1"/>
        <v>19.999999999999996</v>
      </c>
      <c r="M23" s="41">
        <f t="shared" si="1"/>
        <v>19.999999999999996</v>
      </c>
      <c r="N23" s="27"/>
      <c r="O23" s="27"/>
      <c r="P23" s="38"/>
      <c r="Q23" s="27"/>
      <c r="R23" s="27"/>
      <c r="S23" s="27"/>
      <c r="T23" s="27"/>
      <c r="U23" s="27"/>
      <c r="V23" s="27"/>
      <c r="W23" s="27"/>
      <c r="X23" s="27"/>
      <c r="Y23" s="27"/>
      <c r="Z23" s="27"/>
      <c r="AA23" s="27"/>
      <c r="AB23" s="27"/>
      <c r="AC23" s="27"/>
      <c r="AD23" s="27"/>
      <c r="AE23" s="27"/>
      <c r="AF23" s="27"/>
      <c r="AG23" s="27"/>
      <c r="AH23" s="27"/>
      <c r="AI23" s="27"/>
      <c r="AJ23" s="27"/>
    </row>
    <row r="24" spans="1:36" customFormat="1">
      <c r="A24" s="27"/>
      <c r="B24" s="5" t="s">
        <v>347</v>
      </c>
      <c r="C24" s="27" t="s">
        <v>348</v>
      </c>
      <c r="D24" s="7">
        <v>20000000</v>
      </c>
      <c r="E24" s="27"/>
      <c r="F24" s="48" t="s">
        <v>349</v>
      </c>
      <c r="G24" s="27"/>
      <c r="H24" s="41">
        <f t="shared" ref="H24:M24" si="2">$D$20*$D$19*H23</f>
        <v>52499999.999999993</v>
      </c>
      <c r="I24" s="41">
        <f t="shared" si="2"/>
        <v>104999999.99999999</v>
      </c>
      <c r="J24" s="41">
        <f t="shared" si="2"/>
        <v>209999999.99999997</v>
      </c>
      <c r="K24" s="41">
        <f t="shared" si="2"/>
        <v>209999999.99999997</v>
      </c>
      <c r="L24" s="41">
        <f t="shared" si="2"/>
        <v>209999999.99999997</v>
      </c>
      <c r="M24" s="41">
        <f t="shared" si="2"/>
        <v>209999999.99999997</v>
      </c>
      <c r="N24" s="41"/>
      <c r="O24" s="41"/>
      <c r="P24" s="47"/>
      <c r="Q24" s="27"/>
      <c r="R24" s="27"/>
      <c r="S24" s="27"/>
      <c r="T24" s="27"/>
      <c r="U24" s="27"/>
      <c r="V24" s="27"/>
      <c r="W24" s="27"/>
      <c r="X24" s="27"/>
      <c r="Y24" s="27"/>
      <c r="Z24" s="27"/>
      <c r="AA24" s="27"/>
      <c r="AB24" s="27"/>
      <c r="AC24" s="27"/>
      <c r="AD24" s="27"/>
      <c r="AE24" s="27"/>
      <c r="AF24" s="27"/>
      <c r="AG24" s="27"/>
      <c r="AH24" s="27"/>
      <c r="AI24" s="27"/>
      <c r="AJ24" s="27"/>
    </row>
    <row r="25" spans="1:36" customFormat="1">
      <c r="A25" s="27"/>
      <c r="B25" s="5" t="s">
        <v>350</v>
      </c>
      <c r="C25" s="8" t="s">
        <v>351</v>
      </c>
      <c r="D25" s="7">
        <v>100000</v>
      </c>
      <c r="E25" s="27"/>
      <c r="F25" s="48" t="s">
        <v>352</v>
      </c>
      <c r="G25" s="27"/>
      <c r="H25" s="41">
        <f>calculations!K33</f>
        <v>251999999.99999997</v>
      </c>
      <c r="I25" s="41">
        <f>calculations!L33</f>
        <v>503999999.99999994</v>
      </c>
      <c r="J25" s="41">
        <f>calculations!M33</f>
        <v>1007999999.9999999</v>
      </c>
      <c r="K25" s="41">
        <f>calculations!N33</f>
        <v>1007999999.9999999</v>
      </c>
      <c r="L25" s="41">
        <f>calculations!O33</f>
        <v>1007999999.9999999</v>
      </c>
      <c r="M25" s="41">
        <f>calculations!P33</f>
        <v>1007999999.9999999</v>
      </c>
      <c r="N25" s="41"/>
      <c r="O25" s="41"/>
      <c r="P25" s="47"/>
      <c r="Q25" s="27"/>
      <c r="R25" s="27"/>
      <c r="S25" s="27"/>
      <c r="T25" s="27"/>
      <c r="U25" s="27"/>
      <c r="V25" s="27"/>
      <c r="W25" s="27"/>
      <c r="X25" s="27"/>
      <c r="Y25" s="27"/>
      <c r="Z25" s="27"/>
      <c r="AA25" s="27"/>
      <c r="AB25" s="27"/>
      <c r="AC25" s="27"/>
      <c r="AD25" s="27"/>
      <c r="AE25" s="27"/>
      <c r="AF25" s="27"/>
      <c r="AG25" s="27"/>
      <c r="AH25" s="27"/>
      <c r="AI25" s="27"/>
      <c r="AJ25" s="27"/>
    </row>
    <row r="26" spans="1:36" customFormat="1">
      <c r="A26" s="27"/>
      <c r="B26" s="5" t="s">
        <v>353</v>
      </c>
      <c r="C26" s="8" t="s">
        <v>354</v>
      </c>
      <c r="D26" s="7">
        <v>10000000</v>
      </c>
      <c r="E26" s="27"/>
      <c r="F26" s="48" t="s">
        <v>355</v>
      </c>
      <c r="G26" s="27"/>
      <c r="H26" s="140">
        <f>calculations!K49</f>
        <v>35360656.78473939</v>
      </c>
      <c r="I26" s="140">
        <f>calculations!L49</f>
        <v>111362802.59254897</v>
      </c>
      <c r="J26" s="140">
        <f>calculations!M49</f>
        <v>269436576.64887387</v>
      </c>
      <c r="K26" s="140">
        <f>calculations!N49</f>
        <v>451117408.88720393</v>
      </c>
      <c r="L26" s="140">
        <f>calculations!O49</f>
        <v>598226234.54316962</v>
      </c>
      <c r="M26" s="140">
        <f>calculations!P49</f>
        <v>705599999.99999726</v>
      </c>
      <c r="N26" s="140">
        <f>calculations!Q49</f>
        <v>564157372.86103976</v>
      </c>
      <c r="O26" s="140">
        <f>calculations!R49</f>
        <v>401591416.76875895</v>
      </c>
      <c r="P26" s="95">
        <f>calculations!S49</f>
        <v>214747530.91365531</v>
      </c>
      <c r="Q26" s="27"/>
      <c r="R26" s="27"/>
      <c r="S26" s="27"/>
      <c r="T26" s="27"/>
      <c r="U26" s="27"/>
      <c r="V26" s="27"/>
      <c r="W26" s="27"/>
      <c r="X26" s="27"/>
      <c r="Y26" s="27"/>
      <c r="Z26" s="27"/>
      <c r="AA26" s="27"/>
      <c r="AB26" s="27"/>
      <c r="AC26" s="27"/>
      <c r="AD26" s="27"/>
      <c r="AE26" s="27"/>
      <c r="AF26" s="27"/>
      <c r="AG26" s="27"/>
      <c r="AH26" s="27"/>
      <c r="AI26" s="27"/>
      <c r="AJ26" s="27"/>
    </row>
    <row r="27" spans="1:36">
      <c r="B27" s="5" t="s">
        <v>353</v>
      </c>
      <c r="C27" s="8" t="s">
        <v>356</v>
      </c>
      <c r="D27" s="7">
        <f>100*35000</f>
        <v>3500000</v>
      </c>
      <c r="F27" s="48" t="s">
        <v>357</v>
      </c>
      <c r="H27" s="141">
        <f t="shared" ref="H27:M27" si="3">H25*$D$2</f>
        <v>22453199.999999996</v>
      </c>
      <c r="I27" s="141">
        <f t="shared" si="3"/>
        <v>44906399.999999993</v>
      </c>
      <c r="J27" s="141">
        <f t="shared" si="3"/>
        <v>89812799.999999985</v>
      </c>
      <c r="K27" s="141">
        <f t="shared" si="3"/>
        <v>89812799.999999985</v>
      </c>
      <c r="L27" s="141">
        <f t="shared" si="3"/>
        <v>89812799.999999985</v>
      </c>
      <c r="M27" s="141">
        <f t="shared" si="3"/>
        <v>89812799.999999985</v>
      </c>
      <c r="N27" s="141"/>
      <c r="O27" s="141"/>
      <c r="P27" s="104"/>
    </row>
    <row r="28" spans="1:36">
      <c r="B28" s="5" t="s">
        <v>358</v>
      </c>
      <c r="C28" s="8" t="s">
        <v>359</v>
      </c>
      <c r="D28" s="7">
        <v>3</v>
      </c>
      <c r="E28" s="41"/>
      <c r="F28" s="48" t="s">
        <v>360</v>
      </c>
      <c r="H28" s="141">
        <f>H25*$D$31</f>
        <v>0</v>
      </c>
      <c r="I28" s="141">
        <f>I25*$D$31</f>
        <v>0</v>
      </c>
      <c r="J28" s="141">
        <f t="shared" ref="J28:M28" si="4">J25*$D$31</f>
        <v>0</v>
      </c>
      <c r="K28" s="141">
        <f t="shared" si="4"/>
        <v>0</v>
      </c>
      <c r="L28" s="141">
        <f t="shared" si="4"/>
        <v>0</v>
      </c>
      <c r="M28" s="141">
        <f t="shared" si="4"/>
        <v>0</v>
      </c>
      <c r="N28" s="141"/>
      <c r="O28" s="141"/>
      <c r="P28" s="104"/>
    </row>
    <row r="29" spans="1:36">
      <c r="B29" s="5" t="s">
        <v>358</v>
      </c>
      <c r="C29" s="8" t="s">
        <v>361</v>
      </c>
      <c r="D29" s="7">
        <v>30</v>
      </c>
      <c r="E29" s="42"/>
      <c r="F29" s="48" t="s">
        <v>362</v>
      </c>
      <c r="H29" s="27">
        <v>5</v>
      </c>
      <c r="I29" s="27">
        <v>10</v>
      </c>
      <c r="J29" s="27">
        <v>10</v>
      </c>
      <c r="K29" s="27">
        <v>10</v>
      </c>
      <c r="L29" s="27">
        <v>10</v>
      </c>
      <c r="M29" s="27">
        <v>10</v>
      </c>
      <c r="P29" s="38"/>
    </row>
    <row r="30" spans="1:36">
      <c r="B30" s="5" t="s">
        <v>358</v>
      </c>
      <c r="C30" s="8" t="s">
        <v>363</v>
      </c>
      <c r="D30" s="7">
        <v>40000</v>
      </c>
      <c r="F30" s="49" t="s">
        <v>364</v>
      </c>
      <c r="G30" s="39"/>
      <c r="H30" s="39">
        <v>3</v>
      </c>
      <c r="I30" s="80">
        <v>5</v>
      </c>
      <c r="J30" s="80">
        <v>5</v>
      </c>
      <c r="K30" s="80">
        <v>10</v>
      </c>
      <c r="L30" s="80">
        <v>10</v>
      </c>
      <c r="M30" s="80">
        <v>10</v>
      </c>
      <c r="N30" s="39"/>
      <c r="O30" s="39"/>
      <c r="P30" s="40"/>
    </row>
    <row r="31" spans="1:36">
      <c r="B31" s="5" t="s">
        <v>340</v>
      </c>
      <c r="C31" s="8" t="s">
        <v>365</v>
      </c>
      <c r="D31" s="30">
        <v>0</v>
      </c>
      <c r="E31" s="43"/>
    </row>
    <row r="32" spans="1:36">
      <c r="E32" s="43"/>
    </row>
    <row r="35" spans="2:17" ht="18">
      <c r="B35" s="374" t="s">
        <v>366</v>
      </c>
      <c r="C35" s="374"/>
      <c r="D35" s="374"/>
      <c r="F35" s="31" t="s">
        <v>366</v>
      </c>
      <c r="I35" s="41"/>
    </row>
    <row r="36" spans="2:17">
      <c r="B36" s="9" t="s">
        <v>0</v>
      </c>
      <c r="C36" s="9" t="s">
        <v>314</v>
      </c>
      <c r="D36" s="9" t="s">
        <v>315</v>
      </c>
      <c r="F36" s="32"/>
      <c r="G36" s="33">
        <v>2024</v>
      </c>
      <c r="H36" s="33">
        <v>2025</v>
      </c>
      <c r="I36" s="33">
        <v>2026</v>
      </c>
      <c r="J36" s="33">
        <v>2027</v>
      </c>
      <c r="K36" s="33">
        <v>2028</v>
      </c>
      <c r="L36" s="33">
        <v>2029</v>
      </c>
      <c r="M36" s="33">
        <v>2030</v>
      </c>
      <c r="N36" s="33">
        <v>2031</v>
      </c>
      <c r="O36" s="33">
        <v>2032</v>
      </c>
      <c r="P36" s="33">
        <v>2033</v>
      </c>
      <c r="Q36" s="34">
        <v>2034</v>
      </c>
    </row>
    <row r="37" spans="2:17">
      <c r="B37" s="5" t="s">
        <v>367</v>
      </c>
      <c r="C37" s="6" t="s">
        <v>368</v>
      </c>
      <c r="D37" s="7">
        <v>8500000</v>
      </c>
      <c r="F37" s="48" t="s">
        <v>369</v>
      </c>
      <c r="G37" s="102"/>
      <c r="H37" s="102">
        <v>130</v>
      </c>
      <c r="I37" s="102">
        <v>200</v>
      </c>
      <c r="J37" s="102">
        <f t="shared" ref="J37:L37" si="5">I37*1.5</f>
        <v>300</v>
      </c>
      <c r="K37" s="102">
        <f t="shared" si="5"/>
        <v>450</v>
      </c>
      <c r="L37" s="102">
        <f t="shared" si="5"/>
        <v>675</v>
      </c>
      <c r="M37" s="102">
        <v>950</v>
      </c>
      <c r="Q37" s="38"/>
    </row>
    <row r="38" spans="2:17">
      <c r="B38" s="5" t="s">
        <v>370</v>
      </c>
      <c r="C38" s="6" t="s">
        <v>371</v>
      </c>
      <c r="D38" s="7">
        <v>10000000</v>
      </c>
      <c r="F38" s="98" t="s">
        <v>372</v>
      </c>
      <c r="G38" s="103"/>
      <c r="H38" s="103">
        <f>H37*$D$41</f>
        <v>104</v>
      </c>
      <c r="I38" s="103">
        <f t="shared" ref="I38:L38" si="6">I37*$D$41</f>
        <v>160</v>
      </c>
      <c r="J38" s="103">
        <f t="shared" si="6"/>
        <v>240</v>
      </c>
      <c r="K38" s="103">
        <f t="shared" si="6"/>
        <v>360</v>
      </c>
      <c r="L38" s="103">
        <f t="shared" si="6"/>
        <v>540</v>
      </c>
      <c r="M38" s="103">
        <f>M37*$D$41</f>
        <v>760</v>
      </c>
      <c r="Q38" s="38"/>
    </row>
    <row r="39" spans="2:17">
      <c r="B39" s="5" t="s">
        <v>370</v>
      </c>
      <c r="C39" s="6" t="s">
        <v>373</v>
      </c>
      <c r="D39" s="30">
        <v>0.5</v>
      </c>
      <c r="F39" s="98" t="s">
        <v>326</v>
      </c>
      <c r="G39" s="103"/>
      <c r="H39" s="103">
        <f>H37*(1-$D$41)</f>
        <v>25.999999999999993</v>
      </c>
      <c r="I39" s="103">
        <f t="shared" ref="I39:L39" si="7">I37*(1-$D$41)</f>
        <v>39.999999999999993</v>
      </c>
      <c r="J39" s="103">
        <f t="shared" si="7"/>
        <v>59.999999999999986</v>
      </c>
      <c r="K39" s="103">
        <f t="shared" si="7"/>
        <v>89.999999999999986</v>
      </c>
      <c r="L39" s="103">
        <f t="shared" si="7"/>
        <v>134.99999999999997</v>
      </c>
      <c r="M39" s="103">
        <f>M37*(1-$D$41)</f>
        <v>189.99999999999997</v>
      </c>
      <c r="Q39" s="38"/>
    </row>
    <row r="40" spans="2:17">
      <c r="B40" s="5" t="s">
        <v>370</v>
      </c>
      <c r="C40" s="6" t="s">
        <v>374</v>
      </c>
      <c r="D40" s="7">
        <v>80000000</v>
      </c>
      <c r="F40" s="48" t="s">
        <v>375</v>
      </c>
      <c r="G40" s="36"/>
      <c r="H40" s="36">
        <f>H37*$D$50</f>
        <v>52</v>
      </c>
      <c r="I40" s="36">
        <f t="shared" ref="H40:M42" si="8">I37*$D$50</f>
        <v>80</v>
      </c>
      <c r="J40" s="36">
        <f t="shared" si="8"/>
        <v>120</v>
      </c>
      <c r="K40" s="36">
        <f t="shared" si="8"/>
        <v>180</v>
      </c>
      <c r="L40" s="36">
        <f t="shared" si="8"/>
        <v>270</v>
      </c>
      <c r="M40" s="36">
        <f t="shared" si="8"/>
        <v>380</v>
      </c>
      <c r="Q40" s="38"/>
    </row>
    <row r="41" spans="2:17">
      <c r="B41" s="5" t="s">
        <v>376</v>
      </c>
      <c r="C41" s="6" t="s">
        <v>377</v>
      </c>
      <c r="D41" s="130">
        <v>0.8</v>
      </c>
      <c r="F41" s="98" t="s">
        <v>372</v>
      </c>
      <c r="G41" s="36"/>
      <c r="H41" s="36">
        <f t="shared" si="8"/>
        <v>41.6</v>
      </c>
      <c r="I41" s="36">
        <f t="shared" si="8"/>
        <v>64</v>
      </c>
      <c r="J41" s="36">
        <f t="shared" si="8"/>
        <v>96</v>
      </c>
      <c r="K41" s="36">
        <f t="shared" si="8"/>
        <v>144</v>
      </c>
      <c r="L41" s="36">
        <f t="shared" si="8"/>
        <v>216</v>
      </c>
      <c r="M41" s="36">
        <f t="shared" si="8"/>
        <v>304</v>
      </c>
      <c r="Q41" s="38"/>
    </row>
    <row r="42" spans="2:17">
      <c r="B42" s="5" t="s">
        <v>376</v>
      </c>
      <c r="C42" s="6" t="s">
        <v>330</v>
      </c>
      <c r="D42" s="110">
        <v>60000000</v>
      </c>
      <c r="F42" s="98" t="s">
        <v>326</v>
      </c>
      <c r="G42" s="36"/>
      <c r="H42" s="36">
        <f t="shared" si="8"/>
        <v>10.399999999999999</v>
      </c>
      <c r="I42" s="36">
        <f t="shared" si="8"/>
        <v>15.999999999999998</v>
      </c>
      <c r="J42" s="36">
        <f t="shared" si="8"/>
        <v>23.999999999999996</v>
      </c>
      <c r="K42" s="36">
        <f t="shared" si="8"/>
        <v>35.999999999999993</v>
      </c>
      <c r="L42" s="36">
        <f t="shared" si="8"/>
        <v>53.999999999999993</v>
      </c>
      <c r="M42" s="36">
        <f t="shared" si="8"/>
        <v>75.999999999999986</v>
      </c>
      <c r="Q42" s="38"/>
    </row>
    <row r="43" spans="2:17">
      <c r="B43" s="5" t="s">
        <v>376</v>
      </c>
      <c r="C43" s="6" t="s">
        <v>378</v>
      </c>
      <c r="D43" s="110">
        <v>50000000</v>
      </c>
      <c r="F43" s="48" t="s">
        <v>379</v>
      </c>
      <c r="G43" s="36"/>
      <c r="H43" s="36">
        <f t="shared" ref="H43:M45" si="9">H37*$D$51</f>
        <v>52</v>
      </c>
      <c r="I43" s="36">
        <f t="shared" si="9"/>
        <v>80</v>
      </c>
      <c r="J43" s="36">
        <f t="shared" si="9"/>
        <v>120</v>
      </c>
      <c r="K43" s="36">
        <f t="shared" si="9"/>
        <v>180</v>
      </c>
      <c r="L43" s="36">
        <f t="shared" si="9"/>
        <v>270</v>
      </c>
      <c r="M43" s="36">
        <f t="shared" si="9"/>
        <v>380</v>
      </c>
      <c r="Q43" s="38"/>
    </row>
    <row r="44" spans="2:17">
      <c r="B44" s="5" t="s">
        <v>376</v>
      </c>
      <c r="C44" s="6" t="s">
        <v>380</v>
      </c>
      <c r="D44" s="30">
        <v>0.2</v>
      </c>
      <c r="F44" s="98" t="s">
        <v>372</v>
      </c>
      <c r="G44" s="36"/>
      <c r="H44" s="36">
        <f t="shared" si="9"/>
        <v>41.6</v>
      </c>
      <c r="I44" s="36">
        <f t="shared" si="9"/>
        <v>64</v>
      </c>
      <c r="J44" s="36">
        <f t="shared" si="9"/>
        <v>96</v>
      </c>
      <c r="K44" s="36">
        <f t="shared" si="9"/>
        <v>144</v>
      </c>
      <c r="L44" s="36">
        <f t="shared" si="9"/>
        <v>216</v>
      </c>
      <c r="M44" s="36">
        <f t="shared" si="9"/>
        <v>304</v>
      </c>
      <c r="Q44" s="38"/>
    </row>
    <row r="45" spans="2:17">
      <c r="B45" s="5" t="s">
        <v>376</v>
      </c>
      <c r="C45" s="6" t="s">
        <v>331</v>
      </c>
      <c r="D45" s="7">
        <v>60</v>
      </c>
      <c r="F45" s="98" t="s">
        <v>326</v>
      </c>
      <c r="G45" s="36"/>
      <c r="H45" s="36">
        <f t="shared" si="9"/>
        <v>10.399999999999999</v>
      </c>
      <c r="I45" s="36">
        <f t="shared" si="9"/>
        <v>15.999999999999998</v>
      </c>
      <c r="J45" s="36">
        <f t="shared" si="9"/>
        <v>23.999999999999996</v>
      </c>
      <c r="K45" s="36">
        <f t="shared" si="9"/>
        <v>35.999999999999993</v>
      </c>
      <c r="L45" s="36">
        <f t="shared" si="9"/>
        <v>53.999999999999993</v>
      </c>
      <c r="M45" s="36">
        <f t="shared" si="9"/>
        <v>75.999999999999986</v>
      </c>
      <c r="Q45" s="38"/>
    </row>
    <row r="46" spans="2:17" ht="18.600000000000001" customHeight="1">
      <c r="B46" s="5" t="s">
        <v>376</v>
      </c>
      <c r="C46" s="6" t="s">
        <v>381</v>
      </c>
      <c r="D46" s="7">
        <v>48</v>
      </c>
      <c r="F46" s="48" t="s">
        <v>382</v>
      </c>
      <c r="H46" s="45">
        <f>H47+H48</f>
        <v>279644891.04311943</v>
      </c>
      <c r="I46" s="45">
        <f t="shared" ref="I46:Q46" si="10">I47+I48</f>
        <v>683256258.58022404</v>
      </c>
      <c r="J46" s="45">
        <f t="shared" si="10"/>
        <v>1218938087.7755194</v>
      </c>
      <c r="K46" s="45">
        <f t="shared" si="10"/>
        <v>1939309383.1316781</v>
      </c>
      <c r="L46" s="45">
        <f t="shared" si="10"/>
        <v>2915569690.0086651</v>
      </c>
      <c r="M46" s="45">
        <f t="shared" si="10"/>
        <v>4195558872.939949</v>
      </c>
      <c r="N46" s="45">
        <f t="shared" si="10"/>
        <v>3116367720.6901908</v>
      </c>
      <c r="O46" s="45">
        <f t="shared" si="10"/>
        <v>2043920547.7901049</v>
      </c>
      <c r="P46" s="45">
        <f t="shared" si="10"/>
        <v>1063180801.7652335</v>
      </c>
      <c r="Q46" s="46">
        <f t="shared" si="10"/>
        <v>313778687.78528345</v>
      </c>
    </row>
    <row r="47" spans="2:17" ht="15" customHeight="1">
      <c r="B47" s="5" t="s">
        <v>376</v>
      </c>
      <c r="C47" s="8" t="s">
        <v>383</v>
      </c>
      <c r="D47" s="7">
        <v>10</v>
      </c>
      <c r="F47" s="98" t="s">
        <v>372</v>
      </c>
      <c r="H47" s="45">
        <f>calculations!K76</f>
        <v>233037409.20259956</v>
      </c>
      <c r="I47" s="45">
        <f>calculations!L76</f>
        <v>552015181.70918846</v>
      </c>
      <c r="J47" s="45">
        <f>calculations!M76</f>
        <v>983514521.19615388</v>
      </c>
      <c r="K47" s="45">
        <f>calculations!N76</f>
        <v>1576782016.3870463</v>
      </c>
      <c r="L47" s="45">
        <f>calculations!O76</f>
        <v>2404640036.287487</v>
      </c>
      <c r="M47" s="45">
        <f>calculations!P76</f>
        <v>3496299060.7832909</v>
      </c>
      <c r="N47" s="45">
        <f>calculations!Q76</f>
        <v>2596973100.5751591</v>
      </c>
      <c r="O47" s="45">
        <f>calculations!R76</f>
        <v>1703267123.1584208</v>
      </c>
      <c r="P47" s="45">
        <f>calculations!S76</f>
        <v>885984001.47102797</v>
      </c>
      <c r="Q47" s="46">
        <f>calculations!T76</f>
        <v>261482239.82106954</v>
      </c>
    </row>
    <row r="48" spans="2:17" ht="18" customHeight="1">
      <c r="B48" s="5" t="s">
        <v>376</v>
      </c>
      <c r="C48" s="8" t="s">
        <v>384</v>
      </c>
      <c r="D48" s="7">
        <v>8</v>
      </c>
      <c r="F48" s="98" t="s">
        <v>326</v>
      </c>
      <c r="H48" s="45">
        <f>calculations!K97</f>
        <v>46607481.840519898</v>
      </c>
      <c r="I48" s="45">
        <f>calculations!L97</f>
        <v>131241076.87103552</v>
      </c>
      <c r="J48" s="45">
        <f>calculations!M97</f>
        <v>235423566.5793654</v>
      </c>
      <c r="K48" s="45">
        <f>calculations!N97</f>
        <v>362527366.74463165</v>
      </c>
      <c r="L48" s="45">
        <f>calculations!O97</f>
        <v>510929653.721178</v>
      </c>
      <c r="M48" s="45">
        <f>calculations!P97</f>
        <v>699259812.15665793</v>
      </c>
      <c r="N48" s="45">
        <f>calculations!Q97</f>
        <v>519394620.11503172</v>
      </c>
      <c r="O48" s="45">
        <f>calculations!R97</f>
        <v>340653424.63168412</v>
      </c>
      <c r="P48" s="45">
        <f>calculations!S97</f>
        <v>177196800.29420558</v>
      </c>
      <c r="Q48" s="46">
        <f>calculations!T97</f>
        <v>52296447.9642139</v>
      </c>
    </row>
    <row r="49" spans="2:17">
      <c r="B49" s="5" t="s">
        <v>376</v>
      </c>
      <c r="C49" s="8" t="s">
        <v>385</v>
      </c>
      <c r="D49" s="30">
        <v>0.14000000000000001</v>
      </c>
      <c r="F49" s="48" t="s">
        <v>386</v>
      </c>
      <c r="H49" s="45">
        <f>H50+H51</f>
        <v>181795061.6627779</v>
      </c>
      <c r="I49" s="45">
        <f t="shared" ref="I49:Q49" si="11">I50+I51</f>
        <v>418781497.64409727</v>
      </c>
      <c r="J49" s="45">
        <f t="shared" si="11"/>
        <v>723543989.10593307</v>
      </c>
      <c r="K49" s="45">
        <f t="shared" si="11"/>
        <v>1122396359.8236496</v>
      </c>
      <c r="L49" s="45">
        <f t="shared" si="11"/>
        <v>1684994784.4083767</v>
      </c>
      <c r="M49" s="45">
        <f t="shared" si="11"/>
        <v>2440094829.4593062</v>
      </c>
      <c r="N49" s="45">
        <f t="shared" si="11"/>
        <v>1600515228.1769376</v>
      </c>
      <c r="O49" s="45">
        <f t="shared" si="11"/>
        <v>832778314.00711894</v>
      </c>
      <c r="P49" s="45">
        <f t="shared" si="11"/>
        <v>246226823.8514308</v>
      </c>
      <c r="Q49" s="46">
        <f t="shared" si="11"/>
        <v>783712</v>
      </c>
    </row>
    <row r="50" spans="2:17">
      <c r="B50" s="5" t="s">
        <v>376</v>
      </c>
      <c r="C50" s="8" t="s">
        <v>334</v>
      </c>
      <c r="D50" s="30">
        <v>0.4</v>
      </c>
      <c r="F50" s="98" t="s">
        <v>372</v>
      </c>
      <c r="H50" s="45">
        <f>calculations!K148</f>
        <v>151495884.71898159</v>
      </c>
      <c r="I50" s="45">
        <f>calculations!L148</f>
        <v>348984581.37008107</v>
      </c>
      <c r="J50" s="45">
        <f>calculations!M148</f>
        <v>602953324.25494421</v>
      </c>
      <c r="K50" s="45">
        <f>calculations!N148</f>
        <v>935330299.85304141</v>
      </c>
      <c r="L50" s="45">
        <f>calculations!O148</f>
        <v>1404158687.2736473</v>
      </c>
      <c r="M50" s="45">
        <f>calculations!P148</f>
        <v>2033406768.549422</v>
      </c>
      <c r="N50" s="45">
        <f>calculations!Q148</f>
        <v>1333754306.1474481</v>
      </c>
      <c r="O50" s="45">
        <f>calculations!R148</f>
        <v>693969352.33926582</v>
      </c>
      <c r="P50" s="45">
        <f>calculations!S148</f>
        <v>205170155.87619233</v>
      </c>
      <c r="Q50" s="46">
        <f>calculations!T148</f>
        <v>626544</v>
      </c>
    </row>
    <row r="51" spans="2:17">
      <c r="B51" s="5" t="s">
        <v>376</v>
      </c>
      <c r="C51" s="6" t="s">
        <v>387</v>
      </c>
      <c r="D51" s="30">
        <v>0.4</v>
      </c>
      <c r="F51" s="98" t="s">
        <v>326</v>
      </c>
      <c r="H51" s="45">
        <f>calculations!K169</f>
        <v>30299176.943796307</v>
      </c>
      <c r="I51" s="45">
        <f>calculations!L169</f>
        <v>69796916.274016201</v>
      </c>
      <c r="J51" s="45">
        <f>calculations!M169</f>
        <v>120590664.85098882</v>
      </c>
      <c r="K51" s="45">
        <f>calculations!N169</f>
        <v>187066059.97060823</v>
      </c>
      <c r="L51" s="45">
        <f>calculations!O169</f>
        <v>280836097.13472939</v>
      </c>
      <c r="M51" s="45">
        <f>calculations!P169</f>
        <v>406688060.90988433</v>
      </c>
      <c r="N51" s="45">
        <f>calculations!Q169</f>
        <v>266760922.02948958</v>
      </c>
      <c r="O51" s="45">
        <f>calculations!R169</f>
        <v>138808961.66785312</v>
      </c>
      <c r="P51" s="45">
        <f>calculations!S169</f>
        <v>41056667.975238472</v>
      </c>
      <c r="Q51" s="46">
        <f>calculations!T169</f>
        <v>157167.99999999997</v>
      </c>
    </row>
    <row r="52" spans="2:17">
      <c r="B52" s="5" t="s">
        <v>388</v>
      </c>
      <c r="C52" s="8" t="s">
        <v>341</v>
      </c>
      <c r="D52" s="30">
        <v>0.7</v>
      </c>
      <c r="F52" s="48"/>
      <c r="H52" s="45"/>
      <c r="I52" s="45"/>
      <c r="J52" s="45"/>
      <c r="K52" s="45"/>
      <c r="L52" s="45"/>
      <c r="M52" s="45"/>
      <c r="N52" s="45"/>
      <c r="Q52" s="38"/>
    </row>
    <row r="53" spans="2:17">
      <c r="B53" s="5" t="s">
        <v>388</v>
      </c>
      <c r="C53" s="8" t="s">
        <v>343</v>
      </c>
      <c r="D53" s="30">
        <v>0.7</v>
      </c>
      <c r="F53" s="48" t="s">
        <v>355</v>
      </c>
      <c r="H53" s="141">
        <f>calculations!K122</f>
        <v>216823624.39368844</v>
      </c>
      <c r="I53" s="141">
        <f>calculations!L122</f>
        <v>582779311.20021307</v>
      </c>
      <c r="J53" s="141">
        <f>calculations!M122</f>
        <v>1170174966.2540832</v>
      </c>
      <c r="K53" s="141">
        <f>calculations!N122</f>
        <v>2095474585.4508061</v>
      </c>
      <c r="L53" s="141">
        <f>calculations!O122</f>
        <v>3534231985.0074387</v>
      </c>
      <c r="M53" s="141">
        <f>calculations!P122</f>
        <v>5211658109.0407572</v>
      </c>
      <c r="N53" s="141">
        <f>calculations!Q122</f>
        <v>5320956807.4953728</v>
      </c>
      <c r="O53" s="141">
        <f>calculations!R122</f>
        <v>5112067945.8251677</v>
      </c>
      <c r="P53" s="141">
        <f>calculations!S122</f>
        <v>4370217523.3617611</v>
      </c>
      <c r="Q53" s="104">
        <f>calculations!T122</f>
        <v>2764929141.9705796</v>
      </c>
    </row>
    <row r="54" spans="2:17">
      <c r="B54" s="5" t="s">
        <v>388</v>
      </c>
      <c r="C54" s="8" t="s">
        <v>345</v>
      </c>
      <c r="D54" s="132">
        <v>4.4999999999999998E-2</v>
      </c>
      <c r="F54" s="48"/>
      <c r="H54" s="141"/>
      <c r="I54" s="141"/>
      <c r="J54" s="141"/>
      <c r="K54" s="141"/>
      <c r="L54" s="141"/>
      <c r="M54" s="141"/>
      <c r="N54" s="141"/>
      <c r="O54" s="141"/>
      <c r="P54" s="141"/>
      <c r="Q54" s="104"/>
    </row>
    <row r="55" spans="2:17">
      <c r="B55" s="5" t="s">
        <v>389</v>
      </c>
      <c r="C55" s="8" t="s">
        <v>390</v>
      </c>
      <c r="D55" s="110">
        <v>1000000</v>
      </c>
      <c r="F55" s="49"/>
      <c r="G55" s="39"/>
      <c r="H55" s="142"/>
      <c r="I55" s="142"/>
      <c r="J55" s="142"/>
      <c r="K55" s="142"/>
      <c r="L55" s="142"/>
      <c r="M55" s="142"/>
      <c r="N55" s="142"/>
      <c r="O55" s="142"/>
      <c r="P55" s="142"/>
      <c r="Q55" s="143"/>
    </row>
    <row r="56" spans="2:17">
      <c r="B56" s="5" t="s">
        <v>391</v>
      </c>
      <c r="C56" s="8" t="s">
        <v>392</v>
      </c>
      <c r="D56" s="7">
        <v>4</v>
      </c>
    </row>
    <row r="57" spans="2:17">
      <c r="B57" s="5" t="s">
        <v>391</v>
      </c>
      <c r="C57" s="8" t="s">
        <v>393</v>
      </c>
      <c r="D57" s="7">
        <v>50</v>
      </c>
      <c r="F57" s="32"/>
      <c r="G57" s="33">
        <v>2024</v>
      </c>
      <c r="H57" s="33">
        <v>2025</v>
      </c>
      <c r="I57" s="33">
        <v>2026</v>
      </c>
      <c r="J57" s="33">
        <v>2027</v>
      </c>
      <c r="K57" s="33">
        <v>2028</v>
      </c>
      <c r="L57" s="33">
        <v>2029</v>
      </c>
      <c r="M57" s="33">
        <v>2030</v>
      </c>
      <c r="N57" s="33">
        <v>2031</v>
      </c>
      <c r="O57" s="33">
        <v>2032</v>
      </c>
      <c r="P57" s="33">
        <v>2033</v>
      </c>
      <c r="Q57" s="34">
        <v>2034</v>
      </c>
    </row>
    <row r="58" spans="2:17">
      <c r="B58" s="5" t="s">
        <v>394</v>
      </c>
      <c r="C58" s="8" t="s">
        <v>395</v>
      </c>
      <c r="D58" s="7">
        <v>2</v>
      </c>
      <c r="F58" s="69"/>
      <c r="Q58" s="38"/>
    </row>
    <row r="59" spans="2:17">
      <c r="B59" s="5" t="s">
        <v>394</v>
      </c>
      <c r="C59" s="8" t="s">
        <v>396</v>
      </c>
      <c r="D59" s="7">
        <v>150</v>
      </c>
      <c r="F59" s="69" t="s">
        <v>397</v>
      </c>
      <c r="H59" s="45">
        <f>(H40+H43)*1.2</f>
        <v>124.8</v>
      </c>
      <c r="I59" s="45">
        <f>(I40+I43)*1.2</f>
        <v>192</v>
      </c>
      <c r="J59" s="45">
        <f>(J40+J43)*1.2</f>
        <v>288</v>
      </c>
      <c r="K59" s="45">
        <f t="shared" ref="K59:L59" si="12">(K40+K43)*1.2</f>
        <v>432</v>
      </c>
      <c r="L59" s="45">
        <f t="shared" si="12"/>
        <v>648</v>
      </c>
      <c r="M59" s="45">
        <f>(M40+M43)*1.2</f>
        <v>912</v>
      </c>
      <c r="Q59" s="38"/>
    </row>
    <row r="60" spans="2:17">
      <c r="B60" s="5" t="s">
        <v>394</v>
      </c>
      <c r="C60" s="27" t="s">
        <v>398</v>
      </c>
      <c r="D60" s="7">
        <v>50000</v>
      </c>
      <c r="F60" s="69" t="s">
        <v>399</v>
      </c>
      <c r="H60" s="44">
        <f t="shared" ref="H60:M60" si="13">H59*$D$55</f>
        <v>124800000</v>
      </c>
      <c r="I60" s="44">
        <f t="shared" si="13"/>
        <v>192000000</v>
      </c>
      <c r="J60" s="44">
        <f t="shared" si="13"/>
        <v>288000000</v>
      </c>
      <c r="K60" s="44">
        <f t="shared" si="13"/>
        <v>432000000</v>
      </c>
      <c r="L60" s="44">
        <f t="shared" si="13"/>
        <v>648000000</v>
      </c>
      <c r="M60" s="44">
        <f t="shared" si="13"/>
        <v>912000000</v>
      </c>
      <c r="Q60" s="38"/>
    </row>
    <row r="61" spans="2:17">
      <c r="B61" s="5" t="s">
        <v>400</v>
      </c>
      <c r="C61" s="8" t="s">
        <v>401</v>
      </c>
      <c r="D61" s="30">
        <v>0.7</v>
      </c>
      <c r="F61" s="69" t="s">
        <v>402</v>
      </c>
      <c r="H61" s="27">
        <v>3</v>
      </c>
      <c r="I61" s="36">
        <v>10</v>
      </c>
      <c r="J61" s="36">
        <v>10</v>
      </c>
      <c r="K61" s="36">
        <v>10</v>
      </c>
      <c r="L61" s="36">
        <v>20</v>
      </c>
      <c r="M61" s="36">
        <v>20</v>
      </c>
      <c r="Q61" s="38"/>
    </row>
    <row r="62" spans="2:17">
      <c r="B62" s="5" t="s">
        <v>400</v>
      </c>
      <c r="C62" s="8" t="s">
        <v>403</v>
      </c>
      <c r="D62" s="133">
        <v>100000000</v>
      </c>
      <c r="F62" s="109" t="s">
        <v>404</v>
      </c>
      <c r="G62" s="39"/>
      <c r="H62" s="86">
        <f t="shared" ref="H62:M62" si="14">H61*$D$62*$D$61</f>
        <v>210000000</v>
      </c>
      <c r="I62" s="86">
        <f t="shared" si="14"/>
        <v>700000000</v>
      </c>
      <c r="J62" s="86">
        <f t="shared" si="14"/>
        <v>700000000</v>
      </c>
      <c r="K62" s="86">
        <f t="shared" si="14"/>
        <v>700000000</v>
      </c>
      <c r="L62" s="86">
        <f t="shared" si="14"/>
        <v>1400000000</v>
      </c>
      <c r="M62" s="86">
        <f t="shared" si="14"/>
        <v>1400000000</v>
      </c>
      <c r="N62" s="39"/>
      <c r="O62" s="39"/>
      <c r="P62" s="39"/>
      <c r="Q62" s="40"/>
    </row>
    <row r="67" spans="2:17">
      <c r="F67" s="44"/>
    </row>
    <row r="68" spans="2:17" ht="18">
      <c r="B68" s="374" t="s">
        <v>405</v>
      </c>
      <c r="C68" s="374"/>
      <c r="D68" s="374"/>
      <c r="F68" s="31" t="s">
        <v>405</v>
      </c>
      <c r="I68" s="41"/>
    </row>
    <row r="69" spans="2:17">
      <c r="B69" s="9" t="s">
        <v>0</v>
      </c>
      <c r="C69" s="9" t="s">
        <v>314</v>
      </c>
      <c r="D69" s="9" t="s">
        <v>315</v>
      </c>
      <c r="F69" s="32"/>
      <c r="G69" s="33">
        <v>2024</v>
      </c>
      <c r="H69" s="33">
        <v>2025</v>
      </c>
      <c r="I69" s="33">
        <v>2026</v>
      </c>
      <c r="J69" s="33">
        <v>2027</v>
      </c>
      <c r="K69" s="33">
        <v>2028</v>
      </c>
      <c r="L69" s="33">
        <v>2029</v>
      </c>
      <c r="M69" s="33">
        <v>2030</v>
      </c>
      <c r="N69" s="33">
        <v>2031</v>
      </c>
      <c r="O69" s="33">
        <v>2032</v>
      </c>
      <c r="P69" s="33">
        <v>2033</v>
      </c>
      <c r="Q69" s="34">
        <v>2034</v>
      </c>
    </row>
    <row r="70" spans="2:17">
      <c r="B70" s="5" t="s">
        <v>406</v>
      </c>
      <c r="C70" s="6" t="s">
        <v>407</v>
      </c>
      <c r="D70" s="7">
        <v>100000000</v>
      </c>
      <c r="F70" s="48" t="s">
        <v>408</v>
      </c>
      <c r="G70" s="102"/>
      <c r="H70" s="102">
        <v>5</v>
      </c>
      <c r="I70" s="102">
        <v>20</v>
      </c>
      <c r="J70" s="102">
        <v>50</v>
      </c>
      <c r="K70" s="102">
        <v>70</v>
      </c>
      <c r="L70" s="102">
        <v>80</v>
      </c>
      <c r="M70" s="102">
        <v>100</v>
      </c>
      <c r="Q70" s="38"/>
    </row>
    <row r="71" spans="2:17">
      <c r="B71" s="5" t="s">
        <v>406</v>
      </c>
      <c r="C71" s="6" t="s">
        <v>409</v>
      </c>
      <c r="D71" s="30">
        <v>0.5</v>
      </c>
      <c r="E71" s="128"/>
      <c r="F71" s="98" t="s">
        <v>323</v>
      </c>
      <c r="G71" s="103"/>
      <c r="H71" s="103">
        <f t="shared" ref="H71:M71" si="15">H70*$D$76</f>
        <v>4</v>
      </c>
      <c r="I71" s="103">
        <f t="shared" si="15"/>
        <v>16</v>
      </c>
      <c r="J71" s="103">
        <f t="shared" si="15"/>
        <v>40</v>
      </c>
      <c r="K71" s="103">
        <f t="shared" si="15"/>
        <v>56</v>
      </c>
      <c r="L71" s="103">
        <f t="shared" si="15"/>
        <v>64</v>
      </c>
      <c r="M71" s="103">
        <f t="shared" si="15"/>
        <v>80</v>
      </c>
      <c r="Q71" s="38"/>
    </row>
    <row r="72" spans="2:17">
      <c r="B72" s="5" t="s">
        <v>406</v>
      </c>
      <c r="C72" s="6" t="s">
        <v>410</v>
      </c>
      <c r="D72" s="30">
        <v>0.35</v>
      </c>
      <c r="E72" s="128"/>
      <c r="F72" s="98" t="s">
        <v>326</v>
      </c>
      <c r="G72" s="103"/>
      <c r="H72" s="103">
        <f t="shared" ref="H72:M72" si="16">H70*(1-$D$76)</f>
        <v>0.99999999999999978</v>
      </c>
      <c r="I72" s="103">
        <f t="shared" si="16"/>
        <v>3.9999999999999991</v>
      </c>
      <c r="J72" s="103">
        <f t="shared" si="16"/>
        <v>9.9999999999999982</v>
      </c>
      <c r="K72" s="103">
        <f t="shared" si="16"/>
        <v>13.999999999999996</v>
      </c>
      <c r="L72" s="103">
        <f t="shared" si="16"/>
        <v>15.999999999999996</v>
      </c>
      <c r="M72" s="103">
        <f t="shared" si="16"/>
        <v>19.999999999999996</v>
      </c>
      <c r="Q72" s="38"/>
    </row>
    <row r="73" spans="2:17">
      <c r="B73" s="5" t="s">
        <v>411</v>
      </c>
      <c r="C73" s="6" t="s">
        <v>412</v>
      </c>
      <c r="D73" s="7">
        <v>2</v>
      </c>
      <c r="F73" s="48" t="s">
        <v>407</v>
      </c>
      <c r="G73" s="45"/>
      <c r="H73" s="45">
        <f t="shared" ref="H73:M75" si="17">H70*$D$70</f>
        <v>500000000</v>
      </c>
      <c r="I73" s="45">
        <f t="shared" si="17"/>
        <v>2000000000</v>
      </c>
      <c r="J73" s="45">
        <f t="shared" si="17"/>
        <v>5000000000</v>
      </c>
      <c r="K73" s="45">
        <f t="shared" si="17"/>
        <v>7000000000</v>
      </c>
      <c r="L73" s="45">
        <f t="shared" si="17"/>
        <v>8000000000</v>
      </c>
      <c r="M73" s="45">
        <f t="shared" si="17"/>
        <v>10000000000</v>
      </c>
      <c r="Q73" s="38"/>
    </row>
    <row r="74" spans="2:17">
      <c r="B74" s="5" t="s">
        <v>411</v>
      </c>
      <c r="C74" s="6" t="s">
        <v>413</v>
      </c>
      <c r="D74" s="7">
        <v>24000000</v>
      </c>
      <c r="E74" s="162"/>
      <c r="F74" s="98" t="s">
        <v>323</v>
      </c>
      <c r="G74" s="45"/>
      <c r="H74" s="45">
        <f t="shared" si="17"/>
        <v>400000000</v>
      </c>
      <c r="I74" s="45">
        <f t="shared" si="17"/>
        <v>1600000000</v>
      </c>
      <c r="J74" s="45">
        <f t="shared" si="17"/>
        <v>4000000000</v>
      </c>
      <c r="K74" s="45">
        <f t="shared" si="17"/>
        <v>5600000000</v>
      </c>
      <c r="L74" s="45">
        <f t="shared" si="17"/>
        <v>6400000000</v>
      </c>
      <c r="M74" s="45">
        <f t="shared" si="17"/>
        <v>8000000000</v>
      </c>
      <c r="Q74" s="38"/>
    </row>
    <row r="75" spans="2:17">
      <c r="B75" s="5" t="s">
        <v>411</v>
      </c>
      <c r="C75" s="6" t="s">
        <v>414</v>
      </c>
      <c r="D75" s="30">
        <v>0.6</v>
      </c>
      <c r="F75" s="98" t="s">
        <v>326</v>
      </c>
      <c r="G75" s="45"/>
      <c r="H75" s="45">
        <f t="shared" si="17"/>
        <v>99999999.999999985</v>
      </c>
      <c r="I75" s="45">
        <f t="shared" si="17"/>
        <v>399999999.99999994</v>
      </c>
      <c r="J75" s="45">
        <f t="shared" si="17"/>
        <v>999999999.99999988</v>
      </c>
      <c r="K75" s="45">
        <f t="shared" si="17"/>
        <v>1399999999.9999998</v>
      </c>
      <c r="L75" s="45">
        <f t="shared" si="17"/>
        <v>1599999999.9999998</v>
      </c>
      <c r="M75" s="45">
        <f t="shared" si="17"/>
        <v>1999999999.9999998</v>
      </c>
      <c r="Q75" s="38"/>
    </row>
    <row r="76" spans="2:17">
      <c r="B76" s="5" t="s">
        <v>406</v>
      </c>
      <c r="C76" s="6" t="s">
        <v>377</v>
      </c>
      <c r="D76" s="30">
        <v>0.8</v>
      </c>
      <c r="F76" s="48" t="s">
        <v>415</v>
      </c>
      <c r="G76" s="45"/>
      <c r="H76" s="45">
        <f t="shared" ref="H76:M76" si="18">H77+H78</f>
        <v>235000000</v>
      </c>
      <c r="I76" s="45">
        <f t="shared" si="18"/>
        <v>940000000</v>
      </c>
      <c r="J76" s="45">
        <f t="shared" si="18"/>
        <v>2350000000</v>
      </c>
      <c r="K76" s="45">
        <f t="shared" si="18"/>
        <v>3290000000</v>
      </c>
      <c r="L76" s="45">
        <f t="shared" si="18"/>
        <v>3760000000</v>
      </c>
      <c r="M76" s="45">
        <f t="shared" si="18"/>
        <v>4700000000</v>
      </c>
      <c r="N76" s="41"/>
      <c r="Q76" s="38"/>
    </row>
    <row r="77" spans="2:17">
      <c r="B77" s="5" t="s">
        <v>416</v>
      </c>
      <c r="C77" s="8" t="s">
        <v>417</v>
      </c>
      <c r="D77" s="110">
        <v>4</v>
      </c>
      <c r="F77" s="98" t="s">
        <v>323</v>
      </c>
      <c r="G77" s="45"/>
      <c r="H77" s="45">
        <f t="shared" ref="H77:M77" si="19">H74*$D$71</f>
        <v>200000000</v>
      </c>
      <c r="I77" s="45">
        <f t="shared" si="19"/>
        <v>800000000</v>
      </c>
      <c r="J77" s="45">
        <f t="shared" si="19"/>
        <v>2000000000</v>
      </c>
      <c r="K77" s="45">
        <f t="shared" si="19"/>
        <v>2800000000</v>
      </c>
      <c r="L77" s="45">
        <f t="shared" si="19"/>
        <v>3200000000</v>
      </c>
      <c r="M77" s="45">
        <f t="shared" si="19"/>
        <v>4000000000</v>
      </c>
      <c r="Q77" s="38"/>
    </row>
    <row r="78" spans="2:17">
      <c r="B78" s="5" t="s">
        <v>416</v>
      </c>
      <c r="C78" s="8" t="s">
        <v>418</v>
      </c>
      <c r="D78" s="110">
        <v>50</v>
      </c>
      <c r="F78" s="98" t="s">
        <v>326</v>
      </c>
      <c r="G78" s="45"/>
      <c r="H78" s="45">
        <f t="shared" ref="H78:M78" si="20">H75*$D$72</f>
        <v>34999999.999999993</v>
      </c>
      <c r="I78" s="45">
        <f t="shared" si="20"/>
        <v>139999999.99999997</v>
      </c>
      <c r="J78" s="45">
        <f t="shared" si="20"/>
        <v>349999999.99999994</v>
      </c>
      <c r="K78" s="45">
        <f t="shared" si="20"/>
        <v>489999999.99999988</v>
      </c>
      <c r="L78" s="45">
        <f t="shared" si="20"/>
        <v>559999999.99999988</v>
      </c>
      <c r="M78" s="45">
        <f t="shared" si="20"/>
        <v>699999999.99999988</v>
      </c>
      <c r="Q78" s="38"/>
    </row>
    <row r="79" spans="2:17">
      <c r="B79" s="5" t="s">
        <v>416</v>
      </c>
      <c r="C79" t="s">
        <v>419</v>
      </c>
      <c r="D79" s="110">
        <v>50000</v>
      </c>
      <c r="F79" s="48" t="s">
        <v>420</v>
      </c>
      <c r="G79" s="45"/>
      <c r="H79" s="45">
        <f>H70*$D$74*$D$73*$D$75</f>
        <v>144000000</v>
      </c>
      <c r="I79" s="45">
        <f t="shared" ref="I79:M79" si="21">I70*$D$74*$D$73*$D$75</f>
        <v>576000000</v>
      </c>
      <c r="J79" s="45">
        <f t="shared" si="21"/>
        <v>1440000000</v>
      </c>
      <c r="K79" s="45">
        <f t="shared" si="21"/>
        <v>2016000000</v>
      </c>
      <c r="L79" s="45">
        <f t="shared" si="21"/>
        <v>2304000000</v>
      </c>
      <c r="M79" s="45">
        <f t="shared" si="21"/>
        <v>2880000000</v>
      </c>
      <c r="N79" s="45"/>
      <c r="O79" s="45"/>
      <c r="P79" s="45"/>
      <c r="Q79" s="46"/>
    </row>
    <row r="80" spans="2:17">
      <c r="B80" s="5" t="s">
        <v>416</v>
      </c>
      <c r="C80" s="8" t="s">
        <v>421</v>
      </c>
      <c r="D80" s="110">
        <v>2500000</v>
      </c>
      <c r="F80" s="98"/>
      <c r="H80" s="45"/>
      <c r="I80" s="45"/>
      <c r="J80" s="45"/>
      <c r="K80" s="45"/>
      <c r="L80" s="45"/>
      <c r="M80" s="45"/>
      <c r="N80" s="45"/>
      <c r="O80" s="45"/>
      <c r="P80" s="45"/>
      <c r="Q80" s="46"/>
    </row>
    <row r="81" spans="2:19">
      <c r="B81" s="5" t="s">
        <v>422</v>
      </c>
      <c r="C81" s="8" t="s">
        <v>423</v>
      </c>
      <c r="D81" s="110">
        <v>5000000</v>
      </c>
      <c r="F81" s="69" t="s">
        <v>397</v>
      </c>
      <c r="H81" s="45">
        <f>(G70+H70)*1.1</f>
        <v>5.5</v>
      </c>
      <c r="I81" s="45">
        <f>I70*1.1</f>
        <v>22</v>
      </c>
      <c r="J81" s="45">
        <f>J70*1.1</f>
        <v>55.000000000000007</v>
      </c>
      <c r="K81" s="45">
        <f>K70*1.1</f>
        <v>77</v>
      </c>
      <c r="L81" s="45">
        <f>L70*1.1</f>
        <v>88</v>
      </c>
      <c r="M81" s="45">
        <f>M70*1.1</f>
        <v>110.00000000000001</v>
      </c>
      <c r="N81" s="45"/>
      <c r="O81" s="45"/>
      <c r="P81" s="45"/>
      <c r="Q81" s="46"/>
    </row>
    <row r="82" spans="2:19">
      <c r="F82" s="109" t="s">
        <v>399</v>
      </c>
      <c r="G82" s="39"/>
      <c r="H82" s="111">
        <f t="shared" ref="H82:M82" si="22">H81*$D$81</f>
        <v>27500000</v>
      </c>
      <c r="I82" s="111">
        <f t="shared" si="22"/>
        <v>110000000</v>
      </c>
      <c r="J82" s="111">
        <f t="shared" si="22"/>
        <v>275000000.00000006</v>
      </c>
      <c r="K82" s="111">
        <f t="shared" si="22"/>
        <v>385000000</v>
      </c>
      <c r="L82" s="111">
        <f t="shared" si="22"/>
        <v>440000000</v>
      </c>
      <c r="M82" s="111">
        <f t="shared" si="22"/>
        <v>550000000.00000012</v>
      </c>
      <c r="N82" s="111"/>
      <c r="O82" s="111"/>
      <c r="P82" s="111"/>
      <c r="Q82" s="112"/>
    </row>
    <row r="83" spans="2:19">
      <c r="C83" s="131"/>
      <c r="F83" s="113"/>
      <c r="H83" s="45"/>
      <c r="I83" s="45"/>
      <c r="J83" s="45"/>
      <c r="K83" s="45"/>
      <c r="L83" s="45"/>
      <c r="M83" s="45"/>
      <c r="N83" s="45"/>
      <c r="O83" s="45"/>
      <c r="P83" s="45"/>
      <c r="Q83" s="45"/>
    </row>
    <row r="84" spans="2:19">
      <c r="F84" s="113"/>
      <c r="H84" s="45"/>
      <c r="I84" s="45"/>
      <c r="J84" s="45"/>
      <c r="K84" s="45"/>
      <c r="L84" s="45"/>
      <c r="M84" s="45">
        <f>M76/404</f>
        <v>11633663.366336634</v>
      </c>
      <c r="N84" s="45"/>
      <c r="O84" s="45"/>
      <c r="P84" s="45"/>
      <c r="Q84" s="45"/>
    </row>
    <row r="87" spans="2:19" ht="18">
      <c r="B87" s="374" t="s">
        <v>424</v>
      </c>
      <c r="C87" s="374"/>
      <c r="D87" s="374"/>
      <c r="F87" s="31" t="s">
        <v>424</v>
      </c>
      <c r="I87" s="41"/>
      <c r="N87" s="45"/>
      <c r="O87" s="45"/>
      <c r="P87" s="45"/>
      <c r="Q87" s="45"/>
    </row>
    <row r="88" spans="2:19">
      <c r="B88" s="9" t="s">
        <v>0</v>
      </c>
      <c r="C88" s="9" t="s">
        <v>314</v>
      </c>
      <c r="D88" s="9" t="s">
        <v>315</v>
      </c>
      <c r="F88" s="32"/>
      <c r="G88" s="33">
        <v>2024</v>
      </c>
      <c r="H88" s="33">
        <v>2025</v>
      </c>
      <c r="I88" s="33">
        <v>2026</v>
      </c>
      <c r="J88" s="33">
        <v>2027</v>
      </c>
      <c r="K88" s="33">
        <v>2028</v>
      </c>
      <c r="L88" s="33">
        <v>2029</v>
      </c>
      <c r="M88" s="34">
        <v>2030</v>
      </c>
      <c r="N88" s="44"/>
      <c r="O88" s="44"/>
      <c r="P88" s="44"/>
      <c r="Q88" s="44"/>
      <c r="R88" s="44"/>
      <c r="S88" s="44"/>
    </row>
    <row r="89" spans="2:19">
      <c r="B89" s="5" t="s">
        <v>425</v>
      </c>
      <c r="C89" s="8" t="s">
        <v>426</v>
      </c>
      <c r="D89" s="7">
        <f>calculations!C238</f>
        <v>14600000</v>
      </c>
      <c r="F89" s="35" t="s">
        <v>427</v>
      </c>
      <c r="G89" s="115"/>
      <c r="H89" s="115">
        <f>calculations!K185</f>
        <v>83388000</v>
      </c>
      <c r="I89" s="115">
        <f>calculations!L185</f>
        <v>101587200</v>
      </c>
      <c r="J89" s="115">
        <f>calculations!M185</f>
        <v>142641408.00000003</v>
      </c>
      <c r="K89" s="115">
        <f>calculations!N185</f>
        <v>171226798.07999998</v>
      </c>
      <c r="L89" s="115">
        <f>calculations!O185</f>
        <v>178075870.00320005</v>
      </c>
      <c r="M89" s="116">
        <f>calculations!P185</f>
        <v>184093975.00108802</v>
      </c>
      <c r="N89" s="44"/>
      <c r="O89" s="44"/>
      <c r="P89" s="44"/>
      <c r="Q89" s="44"/>
      <c r="R89" s="44"/>
      <c r="S89" s="44"/>
    </row>
    <row r="90" spans="2:19">
      <c r="B90" s="5" t="s">
        <v>428</v>
      </c>
      <c r="C90" s="6" t="s">
        <v>429</v>
      </c>
      <c r="D90" s="7">
        <f>calculations!C232</f>
        <v>38400000</v>
      </c>
      <c r="F90" s="48" t="s">
        <v>430</v>
      </c>
      <c r="G90" s="103"/>
      <c r="H90" s="103">
        <f>calculations!K195</f>
        <v>5100000</v>
      </c>
      <c r="I90" s="103">
        <f>calculations!L195</f>
        <v>5304000</v>
      </c>
      <c r="J90" s="103">
        <f>calculations!M195</f>
        <v>5516160.0000000009</v>
      </c>
      <c r="K90" s="103">
        <f>calculations!N195</f>
        <v>5736806.4000000004</v>
      </c>
      <c r="L90" s="103">
        <f>calculations!O195</f>
        <v>5966278.6560000014</v>
      </c>
      <c r="M90" s="114">
        <f>calculations!P195</f>
        <v>6204929.802240002</v>
      </c>
      <c r="N90" s="44"/>
      <c r="O90" s="44"/>
      <c r="P90" s="44"/>
      <c r="Q90" s="44"/>
      <c r="R90" s="44"/>
      <c r="S90" s="44"/>
    </row>
    <row r="91" spans="2:19">
      <c r="B91" s="5" t="s">
        <v>431</v>
      </c>
      <c r="C91" t="s">
        <v>432</v>
      </c>
      <c r="D91" s="110">
        <v>500000</v>
      </c>
      <c r="F91" s="48" t="s">
        <v>433</v>
      </c>
      <c r="G91" s="45"/>
      <c r="H91" s="45">
        <f>calculations!K211</f>
        <v>5100000</v>
      </c>
      <c r="I91" s="45">
        <f>calculations!L211</f>
        <v>5304000</v>
      </c>
      <c r="J91" s="45">
        <f>calculations!M211</f>
        <v>5516160.0000000009</v>
      </c>
      <c r="K91" s="45">
        <f>calculations!N211</f>
        <v>12823449.600000001</v>
      </c>
      <c r="L91" s="45">
        <f>calculations!O211</f>
        <v>13336387.584000003</v>
      </c>
      <c r="M91" s="46">
        <f>calculations!P211</f>
        <v>13869843.087360004</v>
      </c>
      <c r="N91" s="44"/>
      <c r="O91" s="44"/>
      <c r="P91" s="44"/>
      <c r="Q91" s="44"/>
      <c r="R91" s="44"/>
      <c r="S91" s="44"/>
    </row>
    <row r="92" spans="2:19">
      <c r="B92" s="5" t="s">
        <v>434</v>
      </c>
      <c r="C92" s="8" t="s">
        <v>435</v>
      </c>
      <c r="D92" s="130">
        <v>0.2</v>
      </c>
      <c r="F92" s="48" t="s">
        <v>436</v>
      </c>
      <c r="G92" s="45"/>
      <c r="H92" s="45">
        <f>calculations!K215</f>
        <v>8100000</v>
      </c>
      <c r="I92" s="45">
        <f>calculations!L215</f>
        <v>8424000</v>
      </c>
      <c r="J92" s="45">
        <f>calculations!M215</f>
        <v>14277120.000000002</v>
      </c>
      <c r="K92" s="45">
        <f>calculations!N215</f>
        <v>14848204.800000001</v>
      </c>
      <c r="L92" s="45">
        <f>calculations!O215</f>
        <v>15442132.992000002</v>
      </c>
      <c r="M92" s="46">
        <f>calculations!P215</f>
        <v>16059818.311680004</v>
      </c>
    </row>
    <row r="93" spans="2:19">
      <c r="B93" s="5" t="s">
        <v>431</v>
      </c>
      <c r="C93" s="6" t="s">
        <v>437</v>
      </c>
      <c r="D93" s="130">
        <v>0.3</v>
      </c>
      <c r="F93" s="48" t="s">
        <v>438</v>
      </c>
      <c r="G93" s="41"/>
      <c r="H93" s="163">
        <f>H89-H90-H91-H92</f>
        <v>65088000</v>
      </c>
      <c r="I93" s="41">
        <f t="shared" ref="I93:M93" si="23">I89-I90-I91-I92</f>
        <v>82555200</v>
      </c>
      <c r="J93" s="41">
        <f t="shared" si="23"/>
        <v>117331968.00000003</v>
      </c>
      <c r="K93" s="41">
        <f t="shared" si="23"/>
        <v>137818337.27999997</v>
      </c>
      <c r="L93" s="41">
        <f t="shared" si="23"/>
        <v>143331070.77120006</v>
      </c>
      <c r="M93" s="47">
        <f t="shared" si="23"/>
        <v>147959383.79980803</v>
      </c>
    </row>
    <row r="94" spans="2:19">
      <c r="B94" s="5" t="s">
        <v>439</v>
      </c>
      <c r="C94" s="6" t="s">
        <v>440</v>
      </c>
      <c r="D94" s="110">
        <v>6000000</v>
      </c>
      <c r="F94" s="35" t="s">
        <v>441</v>
      </c>
      <c r="G94" s="41"/>
      <c r="H94" s="83">
        <f>H89*$D$96</f>
        <v>8338800</v>
      </c>
      <c r="I94" s="83">
        <f t="shared" ref="I94:M94" si="24">I89*$D$96</f>
        <v>10158720</v>
      </c>
      <c r="J94" s="83">
        <f t="shared" si="24"/>
        <v>14264140.800000004</v>
      </c>
      <c r="K94" s="83">
        <f t="shared" si="24"/>
        <v>17122679.807999998</v>
      </c>
      <c r="L94" s="83">
        <f t="shared" si="24"/>
        <v>17807587.000320006</v>
      </c>
      <c r="M94" s="84">
        <f t="shared" si="24"/>
        <v>18409397.500108805</v>
      </c>
    </row>
    <row r="95" spans="2:19">
      <c r="B95" s="5" t="s">
        <v>442</v>
      </c>
      <c r="C95" s="8" t="s">
        <v>443</v>
      </c>
      <c r="D95" s="110">
        <v>5000000</v>
      </c>
      <c r="F95" s="48" t="s">
        <v>430</v>
      </c>
      <c r="G95" s="41"/>
      <c r="H95" s="45">
        <f>H90*$D$96</f>
        <v>510000</v>
      </c>
      <c r="I95" s="45">
        <f t="shared" ref="I95:M95" si="25">I90*$D$96</f>
        <v>530400</v>
      </c>
      <c r="J95" s="45">
        <f t="shared" si="25"/>
        <v>551616.00000000012</v>
      </c>
      <c r="K95" s="45">
        <f t="shared" si="25"/>
        <v>573680.64000000001</v>
      </c>
      <c r="L95" s="45">
        <f t="shared" si="25"/>
        <v>596627.86560000014</v>
      </c>
      <c r="M95" s="46">
        <f t="shared" si="25"/>
        <v>620492.98022400017</v>
      </c>
    </row>
    <row r="96" spans="2:19">
      <c r="B96" s="5" t="s">
        <v>425</v>
      </c>
      <c r="C96" s="8" t="s">
        <v>444</v>
      </c>
      <c r="D96" s="130">
        <v>0.1</v>
      </c>
      <c r="F96" s="48" t="s">
        <v>433</v>
      </c>
      <c r="G96" s="41"/>
      <c r="H96" s="45">
        <f t="shared" ref="H96:H97" si="26">H91*$D$96</f>
        <v>510000</v>
      </c>
      <c r="I96" s="45">
        <f t="shared" ref="I96:M96" si="27">I91*$D$96</f>
        <v>530400</v>
      </c>
      <c r="J96" s="45">
        <f t="shared" si="27"/>
        <v>551616.00000000012</v>
      </c>
      <c r="K96" s="45">
        <f t="shared" si="27"/>
        <v>1282344.9600000002</v>
      </c>
      <c r="L96" s="45">
        <f t="shared" si="27"/>
        <v>1333638.7584000004</v>
      </c>
      <c r="M96" s="46">
        <f t="shared" si="27"/>
        <v>1386984.3087360004</v>
      </c>
    </row>
    <row r="97" spans="2:13">
      <c r="F97" s="48" t="s">
        <v>436</v>
      </c>
      <c r="G97" s="41"/>
      <c r="H97" s="45">
        <f t="shared" si="26"/>
        <v>810000</v>
      </c>
      <c r="I97" s="45">
        <f t="shared" ref="I97:M97" si="28">I92*$D$96</f>
        <v>842400</v>
      </c>
      <c r="J97" s="45">
        <f t="shared" si="28"/>
        <v>1427712.0000000002</v>
      </c>
      <c r="K97" s="45">
        <f t="shared" si="28"/>
        <v>1484820.4800000002</v>
      </c>
      <c r="L97" s="45">
        <f t="shared" si="28"/>
        <v>1544213.2992000002</v>
      </c>
      <c r="M97" s="46">
        <f t="shared" si="28"/>
        <v>1605981.8311680006</v>
      </c>
    </row>
    <row r="98" spans="2:13">
      <c r="F98" s="48" t="s">
        <v>438</v>
      </c>
      <c r="G98" s="41"/>
      <c r="H98" s="135">
        <f>H93*$D$96</f>
        <v>6508800</v>
      </c>
      <c r="I98" s="45">
        <f t="shared" ref="I98:M98" si="29">I93*$D$96</f>
        <v>8255520</v>
      </c>
      <c r="J98" s="45">
        <f t="shared" si="29"/>
        <v>11733196.800000004</v>
      </c>
      <c r="K98" s="45">
        <f t="shared" si="29"/>
        <v>13781833.727999998</v>
      </c>
      <c r="L98" s="45">
        <f t="shared" si="29"/>
        <v>14333107.077120006</v>
      </c>
      <c r="M98" s="46">
        <f t="shared" si="29"/>
        <v>14795938.379980803</v>
      </c>
    </row>
    <row r="99" spans="2:13">
      <c r="F99" s="35" t="s">
        <v>445</v>
      </c>
      <c r="G99" s="83"/>
      <c r="H99" s="83">
        <f>SUM(H100:H103)</f>
        <v>7500000</v>
      </c>
      <c r="I99" s="83">
        <f t="shared" ref="I99:M99" si="30">SUM(I100:I103)</f>
        <v>500000</v>
      </c>
      <c r="J99" s="83">
        <f t="shared" si="30"/>
        <v>3000000</v>
      </c>
      <c r="K99" s="83">
        <f t="shared" si="30"/>
        <v>1500000</v>
      </c>
      <c r="L99" s="83">
        <f t="shared" si="30"/>
        <v>0</v>
      </c>
      <c r="M99" s="84">
        <f t="shared" si="30"/>
        <v>0</v>
      </c>
    </row>
    <row r="100" spans="2:13">
      <c r="C100" s="63"/>
      <c r="D100" s="94"/>
      <c r="F100" s="48" t="s">
        <v>430</v>
      </c>
      <c r="G100" s="103"/>
      <c r="H100" s="103">
        <f>calculations!D195*$D$91</f>
        <v>500000</v>
      </c>
      <c r="I100" s="103">
        <f>calculations!E195*$D$91-H100</f>
        <v>0</v>
      </c>
      <c r="J100" s="103">
        <f>calculations!F195*$D$91-H100-I100</f>
        <v>0</v>
      </c>
      <c r="K100" s="103">
        <f>calculations!G195*$D$91-J100-I100-H100</f>
        <v>0</v>
      </c>
      <c r="L100" s="103">
        <f>calculations!H195*$D$91-K100-J100-I100-H100</f>
        <v>0</v>
      </c>
      <c r="M100" s="114">
        <f>calculations!I195*$D$91-L100-K100-J100-I100-H100</f>
        <v>0</v>
      </c>
    </row>
    <row r="101" spans="2:13" ht="18">
      <c r="B101" s="374" t="s">
        <v>805</v>
      </c>
      <c r="C101" s="374"/>
      <c r="D101" s="374"/>
      <c r="F101" s="48" t="s">
        <v>433</v>
      </c>
      <c r="G101" s="45"/>
      <c r="H101" s="45">
        <f>calculations!D211*$D$91</f>
        <v>500000</v>
      </c>
      <c r="I101" s="45">
        <f>calculations!E211*$D$91-H101</f>
        <v>0</v>
      </c>
      <c r="J101" s="45">
        <f>calculations!F211*$D$91-I101-H101</f>
        <v>0</v>
      </c>
      <c r="K101" s="45">
        <f>calculations!G211*$D$91-J101-I101-H101</f>
        <v>500000</v>
      </c>
      <c r="L101" s="45">
        <f>calculations!H211*$D$91-SUM(H101:K101)</f>
        <v>0</v>
      </c>
      <c r="M101" s="46">
        <f>calculations!I211*$D$91-SUM(H101:L101)</f>
        <v>0</v>
      </c>
    </row>
    <row r="102" spans="2:13">
      <c r="B102" s="9" t="s">
        <v>0</v>
      </c>
      <c r="C102" s="9" t="s">
        <v>314</v>
      </c>
      <c r="D102" s="9" t="s">
        <v>315</v>
      </c>
      <c r="F102" s="48" t="s">
        <v>446</v>
      </c>
      <c r="G102" s="45"/>
      <c r="H102" s="45">
        <f>calculations!D215*$D$91</f>
        <v>1000000</v>
      </c>
      <c r="I102" s="45">
        <f>calculations!E215*$D$91-H102</f>
        <v>0</v>
      </c>
      <c r="J102" s="45">
        <f>calculations!F215*$D$91-I102-H102</f>
        <v>500000</v>
      </c>
      <c r="K102" s="45">
        <f>calculations!G215*$D$91-SUM(H102:J102)</f>
        <v>0</v>
      </c>
      <c r="L102" s="45">
        <f>calculations!H215*$D$91-SUM(H102:K102)</f>
        <v>0</v>
      </c>
      <c r="M102" s="46">
        <f>calculations!I215*$D$91-SUM(H102:L102)</f>
        <v>0</v>
      </c>
    </row>
    <row r="103" spans="2:13">
      <c r="B103" s="5" t="s">
        <v>806</v>
      </c>
      <c r="C103" s="8" t="s">
        <v>807</v>
      </c>
      <c r="D103" s="7">
        <v>30</v>
      </c>
      <c r="F103" s="48" t="s">
        <v>438</v>
      </c>
      <c r="G103" s="41"/>
      <c r="H103" s="163">
        <f>(calculations!D185-calculations!D195-calculations!D211-calculations!D215)*$D$91</f>
        <v>5500000</v>
      </c>
      <c r="I103" s="41">
        <f>(calculations!E185-calculations!E195-calculations!E211-calculations!E215)*$D$91-H103</f>
        <v>500000</v>
      </c>
      <c r="J103" s="41">
        <f>(calculations!F185-calculations!F195-calculations!F211-calculations!F215)*$D$91-I103-H103</f>
        <v>2500000</v>
      </c>
      <c r="K103" s="41">
        <f>(calculations!G185-calculations!G195-calculations!G211-calculations!G215)*$D$91-SUM(H103:J103)</f>
        <v>1000000</v>
      </c>
      <c r="L103" s="41">
        <f>(calculations!H185-calculations!H195-calculations!H211-calculations!H215)*$D$91-SUM(H103:K103)</f>
        <v>0</v>
      </c>
      <c r="M103" s="47">
        <f>(calculations!I185-calculations!I195-calculations!I211-calculations!I215)*$D$91-SUM(H103:L103)</f>
        <v>0</v>
      </c>
    </row>
    <row r="104" spans="2:13">
      <c r="B104" s="5" t="s">
        <v>806</v>
      </c>
      <c r="C104" s="8" t="s">
        <v>811</v>
      </c>
      <c r="D104" s="110">
        <v>15000000</v>
      </c>
      <c r="F104" s="35" t="s">
        <v>447</v>
      </c>
      <c r="G104" s="115"/>
      <c r="H104" s="115">
        <f>calculations!K195</f>
        <v>5100000</v>
      </c>
      <c r="I104" s="115">
        <f>calculations!L195</f>
        <v>5304000</v>
      </c>
      <c r="J104" s="115">
        <f>calculations!M195</f>
        <v>5516160.0000000009</v>
      </c>
      <c r="K104" s="115">
        <f>calculations!N195</f>
        <v>5736806.4000000004</v>
      </c>
      <c r="L104" s="115">
        <f>calculations!O195</f>
        <v>5966278.6560000014</v>
      </c>
      <c r="M104" s="116">
        <f>calculations!P195</f>
        <v>6204929.802240002</v>
      </c>
    </row>
    <row r="105" spans="2:13">
      <c r="F105" s="48" t="s">
        <v>430</v>
      </c>
      <c r="G105" s="41"/>
      <c r="H105" s="41">
        <f t="shared" ref="H105:M108" si="31">H90*$D$93</f>
        <v>1530000</v>
      </c>
      <c r="I105" s="41">
        <f t="shared" si="31"/>
        <v>1591200</v>
      </c>
      <c r="J105" s="41">
        <f t="shared" si="31"/>
        <v>1654848.0000000002</v>
      </c>
      <c r="K105" s="41">
        <f t="shared" si="31"/>
        <v>1721041.9200000002</v>
      </c>
      <c r="L105" s="41">
        <f t="shared" si="31"/>
        <v>1789883.5968000004</v>
      </c>
      <c r="M105" s="47">
        <f t="shared" si="31"/>
        <v>1861478.9406720006</v>
      </c>
    </row>
    <row r="106" spans="2:13">
      <c r="F106" s="48" t="s">
        <v>433</v>
      </c>
      <c r="G106" s="41"/>
      <c r="H106" s="41">
        <f t="shared" si="31"/>
        <v>1530000</v>
      </c>
      <c r="I106" s="41">
        <f t="shared" si="31"/>
        <v>1591200</v>
      </c>
      <c r="J106" s="41">
        <f t="shared" si="31"/>
        <v>1654848.0000000002</v>
      </c>
      <c r="K106" s="41">
        <f t="shared" si="31"/>
        <v>3847034.8800000004</v>
      </c>
      <c r="L106" s="41">
        <f t="shared" si="31"/>
        <v>4000916.2752000005</v>
      </c>
      <c r="M106" s="47">
        <f t="shared" si="31"/>
        <v>4160952.9262080011</v>
      </c>
    </row>
    <row r="107" spans="2:13">
      <c r="F107" s="48" t="s">
        <v>446</v>
      </c>
      <c r="G107" s="41"/>
      <c r="H107" s="163">
        <f t="shared" si="31"/>
        <v>2430000</v>
      </c>
      <c r="I107" s="41">
        <f t="shared" si="31"/>
        <v>2527200</v>
      </c>
      <c r="J107" s="41">
        <f t="shared" si="31"/>
        <v>4283136</v>
      </c>
      <c r="K107" s="41">
        <f t="shared" si="31"/>
        <v>4454461.4400000004</v>
      </c>
      <c r="L107" s="41">
        <f t="shared" si="31"/>
        <v>4632639.8976000007</v>
      </c>
      <c r="M107" s="47">
        <f t="shared" si="31"/>
        <v>4817945.4935040008</v>
      </c>
    </row>
    <row r="108" spans="2:13">
      <c r="F108" s="48" t="s">
        <v>438</v>
      </c>
      <c r="G108" s="41"/>
      <c r="H108" s="41">
        <f t="shared" si="31"/>
        <v>19526400</v>
      </c>
      <c r="I108" s="41">
        <f t="shared" si="31"/>
        <v>24766560</v>
      </c>
      <c r="J108" s="41">
        <f t="shared" si="31"/>
        <v>35199590.400000006</v>
      </c>
      <c r="K108" s="41">
        <f t="shared" si="31"/>
        <v>41345501.183999993</v>
      </c>
      <c r="L108" s="41">
        <f t="shared" si="31"/>
        <v>42999321.231360018</v>
      </c>
      <c r="M108" s="47">
        <f t="shared" si="31"/>
        <v>44387815.139942408</v>
      </c>
    </row>
    <row r="109" spans="2:13">
      <c r="F109" s="129" t="s">
        <v>448</v>
      </c>
      <c r="G109" s="72"/>
      <c r="H109" s="72">
        <f>H89*$D$92</f>
        <v>16677600</v>
      </c>
      <c r="I109" s="72">
        <f t="shared" ref="I109:M109" si="32">I89*$D$92</f>
        <v>20317440</v>
      </c>
      <c r="J109" s="72">
        <f t="shared" si="32"/>
        <v>28528281.600000009</v>
      </c>
      <c r="K109" s="72">
        <f t="shared" si="32"/>
        <v>34245359.615999997</v>
      </c>
      <c r="L109" s="72">
        <f t="shared" si="32"/>
        <v>35615174.000640012</v>
      </c>
      <c r="M109" s="73">
        <f t="shared" si="32"/>
        <v>36818795.000217609</v>
      </c>
    </row>
    <row r="113" spans="6:13">
      <c r="F113" s="31" t="s">
        <v>805</v>
      </c>
      <c r="I113" s="41"/>
    </row>
    <row r="114" spans="6:13">
      <c r="F114" s="32"/>
      <c r="G114" s="33">
        <v>2024</v>
      </c>
      <c r="H114" s="33">
        <v>2025</v>
      </c>
      <c r="I114" s="33">
        <v>2026</v>
      </c>
      <c r="J114" s="33">
        <v>2027</v>
      </c>
      <c r="K114" s="33">
        <v>2028</v>
      </c>
      <c r="L114" s="33">
        <v>2029</v>
      </c>
      <c r="M114" s="34">
        <v>2030</v>
      </c>
    </row>
    <row r="115" spans="6:13">
      <c r="F115" s="35" t="s">
        <v>808</v>
      </c>
      <c r="G115" s="115">
        <f>G116*$D$104</f>
        <v>0</v>
      </c>
      <c r="H115" s="115">
        <f t="shared" ref="H115:M115" si="33">H116*$D$104</f>
        <v>0</v>
      </c>
      <c r="I115" s="115">
        <f t="shared" si="33"/>
        <v>0</v>
      </c>
      <c r="J115" s="115">
        <f t="shared" si="33"/>
        <v>60000000</v>
      </c>
      <c r="K115" s="115">
        <f t="shared" si="33"/>
        <v>75000000</v>
      </c>
      <c r="L115" s="115">
        <f t="shared" si="33"/>
        <v>93750000</v>
      </c>
      <c r="M115" s="116">
        <f t="shared" si="33"/>
        <v>117187500</v>
      </c>
    </row>
    <row r="116" spans="6:13">
      <c r="F116" s="48" t="s">
        <v>810</v>
      </c>
      <c r="G116" s="103">
        <v>0</v>
      </c>
      <c r="H116" s="103">
        <v>0</v>
      </c>
      <c r="I116" s="103">
        <v>0</v>
      </c>
      <c r="J116" s="103">
        <v>4</v>
      </c>
      <c r="K116" s="103">
        <f>J116*1.25</f>
        <v>5</v>
      </c>
      <c r="L116" s="103">
        <f t="shared" ref="L116:M116" si="34">K116*1.25</f>
        <v>6.25</v>
      </c>
      <c r="M116" s="114">
        <f t="shared" si="34"/>
        <v>7.8125</v>
      </c>
    </row>
    <row r="117" spans="6:13">
      <c r="F117" s="49" t="s">
        <v>812</v>
      </c>
      <c r="G117" s="118">
        <f>G116*$D$103</f>
        <v>0</v>
      </c>
      <c r="H117" s="118">
        <f t="shared" ref="H117:M117" si="35">H116*$D$103</f>
        <v>0</v>
      </c>
      <c r="I117" s="118">
        <f t="shared" si="35"/>
        <v>0</v>
      </c>
      <c r="J117" s="118">
        <f t="shared" si="35"/>
        <v>120</v>
      </c>
      <c r="K117" s="118">
        <f t="shared" si="35"/>
        <v>150</v>
      </c>
      <c r="L117" s="118">
        <f t="shared" si="35"/>
        <v>187.5</v>
      </c>
      <c r="M117" s="119">
        <f t="shared" si="35"/>
        <v>234.375</v>
      </c>
    </row>
  </sheetData>
  <mergeCells count="9">
    <mergeCell ref="B1:D1"/>
    <mergeCell ref="B2:C2"/>
    <mergeCell ref="B3:C3"/>
    <mergeCell ref="B4:C4"/>
    <mergeCell ref="B101:D101"/>
    <mergeCell ref="B7:D7"/>
    <mergeCell ref="B35:D35"/>
    <mergeCell ref="B68:D68"/>
    <mergeCell ref="B87:D87"/>
  </mergeCells>
  <phoneticPr fontId="27" type="noConversion"/>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A39E-0E51-4E3B-B7AB-0217F71716A4}">
  <sheetPr codeName="Sheet8"/>
  <dimension ref="A1:AI750"/>
  <sheetViews>
    <sheetView topLeftCell="A685" zoomScale="95" zoomScaleNormal="90" workbookViewId="0">
      <selection activeCell="F713" sqref="F713"/>
    </sheetView>
  </sheetViews>
  <sheetFormatPr defaultColWidth="8.88671875" defaultRowHeight="14.4"/>
  <cols>
    <col min="3" max="3" width="40.6640625" customWidth="1"/>
    <col min="4" max="4" width="9.88671875" customWidth="1"/>
    <col min="5" max="10" width="10.88671875" customWidth="1"/>
    <col min="11" max="18" width="10.109375" customWidth="1"/>
    <col min="19" max="19" width="12.33203125" bestFit="1" customWidth="1"/>
    <col min="24" max="24" width="12.88671875" customWidth="1"/>
  </cols>
  <sheetData>
    <row r="1" spans="2:19" hidden="1"/>
    <row r="2" spans="2:19" ht="1.95" customHeight="1"/>
    <row r="3" spans="2:19">
      <c r="B3" s="169"/>
      <c r="C3" s="170"/>
      <c r="D3" s="169"/>
      <c r="E3" s="169">
        <v>2018</v>
      </c>
      <c r="F3" s="169">
        <v>2019</v>
      </c>
      <c r="G3" s="169">
        <v>2020</v>
      </c>
      <c r="H3" s="169">
        <v>2021</v>
      </c>
      <c r="I3" s="169">
        <v>2022</v>
      </c>
      <c r="J3" s="169">
        <v>2023</v>
      </c>
      <c r="K3" s="169">
        <v>2024</v>
      </c>
      <c r="L3" s="169">
        <v>2025</v>
      </c>
      <c r="M3" s="169">
        <v>2026</v>
      </c>
      <c r="N3" s="169">
        <v>2027</v>
      </c>
      <c r="O3" s="169">
        <v>2028</v>
      </c>
      <c r="P3" s="169">
        <v>2029</v>
      </c>
      <c r="Q3" s="169">
        <v>2030</v>
      </c>
    </row>
    <row r="4" spans="2:19" ht="46.8">
      <c r="B4" s="171" t="s">
        <v>6</v>
      </c>
      <c r="C4" s="171" t="s">
        <v>449</v>
      </c>
      <c r="D4" s="172" t="s">
        <v>450</v>
      </c>
      <c r="E4" s="173">
        <f>E38</f>
        <v>5807.9788127434877</v>
      </c>
      <c r="F4" s="173">
        <f t="shared" ref="F4:Q4" si="0">F38</f>
        <v>6110.2912565804536</v>
      </c>
      <c r="G4" s="173">
        <f t="shared" si="0"/>
        <v>5924.2241118518168</v>
      </c>
      <c r="H4" s="173">
        <f t="shared" si="0"/>
        <v>6774.3740753984112</v>
      </c>
      <c r="I4" s="173">
        <f t="shared" si="0"/>
        <v>7862.5925037908737</v>
      </c>
      <c r="J4" s="173">
        <f t="shared" si="0"/>
        <v>8843.4692958547621</v>
      </c>
      <c r="K4" s="174">
        <f t="shared" si="0"/>
        <v>9545.4445478424041</v>
      </c>
      <c r="L4" s="174">
        <f t="shared" si="0"/>
        <v>10231.036703656546</v>
      </c>
      <c r="M4" s="174">
        <f t="shared" si="0"/>
        <v>10895.942127175076</v>
      </c>
      <c r="N4" s="174">
        <f t="shared" si="0"/>
        <v>11536.672884876542</v>
      </c>
      <c r="O4" s="174">
        <f t="shared" si="0"/>
        <v>12150.522397007981</v>
      </c>
      <c r="P4" s="174">
        <f t="shared" si="0"/>
        <v>12735.510236828717</v>
      </c>
      <c r="Q4" s="174">
        <f t="shared" si="0"/>
        <v>13290.313222095087</v>
      </c>
      <c r="S4" s="175" t="s">
        <v>451</v>
      </c>
    </row>
    <row r="5" spans="2:19" ht="62.4">
      <c r="B5" s="176" t="s">
        <v>7</v>
      </c>
      <c r="C5" s="171" t="s">
        <v>452</v>
      </c>
      <c r="D5" s="177" t="s">
        <v>453</v>
      </c>
      <c r="E5" s="178">
        <f>E107</f>
        <v>14.736839517860901</v>
      </c>
      <c r="F5" s="178">
        <f t="shared" ref="F5:Q5" si="1">F107</f>
        <v>15.250148574487099</v>
      </c>
      <c r="G5" s="178">
        <f t="shared" si="1"/>
        <v>11.910507972181501</v>
      </c>
      <c r="H5" s="178">
        <f t="shared" si="1"/>
        <v>16.169034532224899</v>
      </c>
      <c r="I5" s="179">
        <f t="shared" si="1"/>
        <v>16.971198930126302</v>
      </c>
      <c r="J5" s="179">
        <f t="shared" si="1"/>
        <v>17.813159626314913</v>
      </c>
      <c r="K5" s="179">
        <f t="shared" si="1"/>
        <v>18.6968909609154</v>
      </c>
      <c r="L5" s="179">
        <f t="shared" si="1"/>
        <v>19.624465223336568</v>
      </c>
      <c r="M5" s="179">
        <f t="shared" si="1"/>
        <v>20.598057511647962</v>
      </c>
      <c r="N5" s="179">
        <f t="shared" si="1"/>
        <v>21.61995083303578</v>
      </c>
      <c r="O5" s="179">
        <f t="shared" si="1"/>
        <v>22.692541457298226</v>
      </c>
      <c r="P5" s="179">
        <f t="shared" si="1"/>
        <v>23.818344535933957</v>
      </c>
      <c r="Q5" s="179">
        <f t="shared" si="1"/>
        <v>25</v>
      </c>
      <c r="S5" s="180" t="s">
        <v>454</v>
      </c>
    </row>
    <row r="6" spans="2:19" ht="46.8">
      <c r="B6" s="176" t="s">
        <v>8</v>
      </c>
      <c r="C6" s="171" t="s">
        <v>455</v>
      </c>
      <c r="D6" s="172" t="s">
        <v>453</v>
      </c>
      <c r="E6" s="178">
        <f>E136</f>
        <v>39.392894028607309</v>
      </c>
      <c r="F6" s="178">
        <f t="shared" ref="F6:Q6" si="2">F136</f>
        <v>41.35080136208493</v>
      </c>
      <c r="G6" s="178">
        <f t="shared" si="2"/>
        <v>29.764986915193393</v>
      </c>
      <c r="H6" s="178">
        <f t="shared" si="2"/>
        <v>35.906439990126685</v>
      </c>
      <c r="I6" s="178">
        <f t="shared" si="2"/>
        <v>50.013647695145139</v>
      </c>
      <c r="J6" s="178">
        <f t="shared" si="2"/>
        <v>58.181455474507217</v>
      </c>
      <c r="K6" s="179">
        <f t="shared" si="2"/>
        <v>38.271465692700389</v>
      </c>
      <c r="L6" s="179">
        <f t="shared" si="2"/>
        <v>40.015131314272303</v>
      </c>
      <c r="M6" s="179">
        <f t="shared" si="2"/>
        <v>41.838239145459717</v>
      </c>
      <c r="N6" s="179">
        <f t="shared" si="2"/>
        <v>43.744408609958612</v>
      </c>
      <c r="O6" s="179">
        <f t="shared" si="2"/>
        <v>45.73742403407725</v>
      </c>
      <c r="P6" s="179">
        <f t="shared" si="2"/>
        <v>47.821242159775231</v>
      </c>
      <c r="Q6" s="179">
        <f t="shared" si="2"/>
        <v>50</v>
      </c>
      <c r="S6" s="180" t="s">
        <v>456</v>
      </c>
    </row>
    <row r="7" spans="2:19" ht="93.6">
      <c r="B7" s="176" t="s">
        <v>9</v>
      </c>
      <c r="C7" s="171" t="s">
        <v>457</v>
      </c>
      <c r="D7" s="172" t="s">
        <v>453</v>
      </c>
      <c r="E7" s="178">
        <f>E170</f>
        <v>57.922164894535555</v>
      </c>
      <c r="F7" s="178">
        <f t="shared" ref="F7:Q7" si="3">F170</f>
        <v>57.118985491483883</v>
      </c>
      <c r="G7" s="178">
        <f t="shared" si="3"/>
        <v>53.285132461737192</v>
      </c>
      <c r="H7" s="178">
        <f t="shared" si="3"/>
        <v>54.103043938006799</v>
      </c>
      <c r="I7" s="178">
        <f t="shared" si="3"/>
        <v>33.733797649747956</v>
      </c>
      <c r="J7" s="178">
        <f t="shared" si="3"/>
        <v>26.938923798439863</v>
      </c>
      <c r="K7" s="179">
        <f t="shared" si="3"/>
        <v>30.203815899397142</v>
      </c>
      <c r="L7" s="179">
        <f t="shared" si="3"/>
        <v>33.864400141237589</v>
      </c>
      <c r="M7" s="179">
        <f t="shared" si="3"/>
        <v>37.968632862337842</v>
      </c>
      <c r="N7" s="179">
        <f t="shared" si="3"/>
        <v>42.570282521541117</v>
      </c>
      <c r="O7" s="179">
        <f t="shared" si="3"/>
        <v>47.72963410440385</v>
      </c>
      <c r="P7" s="179">
        <f t="shared" si="3"/>
        <v>53.514278900721742</v>
      </c>
      <c r="Q7" s="179">
        <f t="shared" si="3"/>
        <v>60</v>
      </c>
      <c r="S7" s="180" t="s">
        <v>458</v>
      </c>
    </row>
    <row r="8" spans="2:19" ht="31.2">
      <c r="B8" s="176" t="s">
        <v>10</v>
      </c>
      <c r="C8" s="171" t="s">
        <v>459</v>
      </c>
      <c r="D8" s="172" t="s">
        <v>453</v>
      </c>
      <c r="E8" s="178">
        <f>E192</f>
        <v>26.145640155870332</v>
      </c>
      <c r="F8" s="178">
        <f t="shared" ref="F8:Q8" si="4">F192</f>
        <v>25.384287540651396</v>
      </c>
      <c r="G8" s="178">
        <f t="shared" si="4"/>
        <v>27.602224924830892</v>
      </c>
      <c r="H8" s="178">
        <f t="shared" si="4"/>
        <v>27.554189059949465</v>
      </c>
      <c r="I8" s="178">
        <f t="shared" si="4"/>
        <v>27.042894370368771</v>
      </c>
      <c r="J8" s="178">
        <f t="shared" si="4"/>
        <v>26.934244700828913</v>
      </c>
      <c r="K8" s="179">
        <f t="shared" si="4"/>
        <v>27.961257130076547</v>
      </c>
      <c r="L8" s="179">
        <f t="shared" si="4"/>
        <v>29.027429912307703</v>
      </c>
      <c r="M8" s="179">
        <f t="shared" si="4"/>
        <v>30.134256245853898</v>
      </c>
      <c r="N8" s="179">
        <f t="shared" si="4"/>
        <v>31.283286265235606</v>
      </c>
      <c r="O8" s="179">
        <f t="shared" si="4"/>
        <v>32.476129212159599</v>
      </c>
      <c r="P8" s="179">
        <f t="shared" si="4"/>
        <v>33.714455689297218</v>
      </c>
      <c r="Q8" s="179">
        <f t="shared" si="4"/>
        <v>35</v>
      </c>
      <c r="S8" s="180" t="s">
        <v>460</v>
      </c>
    </row>
    <row r="9" spans="2:19" ht="78">
      <c r="B9" s="176" t="s">
        <v>11</v>
      </c>
      <c r="C9" s="171" t="s">
        <v>461</v>
      </c>
      <c r="D9" s="172" t="s">
        <v>462</v>
      </c>
      <c r="E9" s="181">
        <f>E212</f>
        <v>14.174811824901386</v>
      </c>
      <c r="F9" s="181">
        <f t="shared" ref="F9:Q9" si="5">F212</f>
        <v>14.112637374675852</v>
      </c>
      <c r="G9" s="181">
        <f t="shared" si="5"/>
        <v>12.398973661385369</v>
      </c>
      <c r="H9" s="181">
        <f t="shared" si="5"/>
        <v>12.516883192261885</v>
      </c>
      <c r="I9" s="181">
        <f t="shared" si="5"/>
        <v>13.265965795420945</v>
      </c>
      <c r="J9" s="179">
        <f t="shared" si="5"/>
        <v>13.471250792820264</v>
      </c>
      <c r="K9" s="179">
        <f t="shared" si="5"/>
        <v>13.679712485441563</v>
      </c>
      <c r="L9" s="179">
        <f t="shared" si="5"/>
        <v>13.891400031248942</v>
      </c>
      <c r="M9" s="179">
        <f t="shared" si="5"/>
        <v>14.106363348904425</v>
      </c>
      <c r="N9" s="179">
        <f t="shared" si="5"/>
        <v>14.324653129539415</v>
      </c>
      <c r="O9" s="179">
        <f t="shared" si="5"/>
        <v>14.546320848708319</v>
      </c>
      <c r="P9" s="179">
        <f t="shared" si="5"/>
        <v>14.771418778527156</v>
      </c>
      <c r="Q9" s="182">
        <f t="shared" si="5"/>
        <v>15</v>
      </c>
      <c r="S9" s="180" t="s">
        <v>463</v>
      </c>
    </row>
    <row r="10" spans="2:19" ht="62.4">
      <c r="B10" s="176" t="s">
        <v>12</v>
      </c>
      <c r="C10" s="171" t="s">
        <v>464</v>
      </c>
      <c r="D10" s="172" t="s">
        <v>453</v>
      </c>
      <c r="E10" s="183" t="str">
        <f>E227</f>
        <v>Հ/Չ</v>
      </c>
      <c r="F10" s="183" t="str">
        <f t="shared" ref="F10:Q10" si="6">F227</f>
        <v>Հ/Չ</v>
      </c>
      <c r="G10" s="184">
        <f t="shared" si="6"/>
        <v>40.189200091011429</v>
      </c>
      <c r="H10" s="184">
        <f t="shared" si="6"/>
        <v>37.560176653254942</v>
      </c>
      <c r="I10" s="184">
        <f t="shared" si="6"/>
        <v>37.364470701425006</v>
      </c>
      <c r="J10" s="184">
        <f t="shared" si="6"/>
        <v>41.372244862706772</v>
      </c>
      <c r="K10" s="179">
        <f t="shared" si="6"/>
        <v>41.87201508355448</v>
      </c>
      <c r="L10" s="179">
        <f t="shared" si="6"/>
        <v>42.377822450186159</v>
      </c>
      <c r="M10" s="179">
        <f t="shared" si="6"/>
        <v>42.889739890374805</v>
      </c>
      <c r="N10" s="179">
        <f t="shared" si="6"/>
        <v>43.407841212849455</v>
      </c>
      <c r="O10" s="179">
        <f t="shared" si="6"/>
        <v>43.932201117937012</v>
      </c>
      <c r="P10" s="179">
        <f t="shared" si="6"/>
        <v>44.46289520833259</v>
      </c>
      <c r="Q10" s="179">
        <f t="shared" si="6"/>
        <v>45</v>
      </c>
      <c r="S10" s="180" t="s">
        <v>465</v>
      </c>
    </row>
    <row r="11" spans="2:19" ht="46.8">
      <c r="B11" s="176" t="s">
        <v>13</v>
      </c>
      <c r="C11" s="171" t="s">
        <v>466</v>
      </c>
      <c r="D11" s="172" t="s">
        <v>467</v>
      </c>
      <c r="E11" s="178">
        <f>E293</f>
        <v>27.24699258113127</v>
      </c>
      <c r="F11" s="178">
        <f t="shared" ref="F11:Q11" si="7">F293</f>
        <v>31.129976387552201</v>
      </c>
      <c r="G11" s="178">
        <f t="shared" si="7"/>
        <v>34.349249524443522</v>
      </c>
      <c r="H11" s="178">
        <f t="shared" si="7"/>
        <v>38.039099002018474</v>
      </c>
      <c r="I11" s="178">
        <f t="shared" si="7"/>
        <v>44.560112749504604</v>
      </c>
      <c r="J11" s="178">
        <f t="shared" si="7"/>
        <v>50.197874987574785</v>
      </c>
      <c r="K11" s="179">
        <f t="shared" si="7"/>
        <v>51.493438418964118</v>
      </c>
      <c r="L11" s="179">
        <f t="shared" si="7"/>
        <v>52.822439214089833</v>
      </c>
      <c r="M11" s="179">
        <f t="shared" si="7"/>
        <v>54.18574036218623</v>
      </c>
      <c r="N11" s="179">
        <f t="shared" si="7"/>
        <v>55.584227125488106</v>
      </c>
      <c r="O11" s="179">
        <f t="shared" si="7"/>
        <v>57.018807614077431</v>
      </c>
      <c r="P11" s="179">
        <f t="shared" si="7"/>
        <v>58.490413375566483</v>
      </c>
      <c r="Q11" s="179">
        <f t="shared" si="7"/>
        <v>60</v>
      </c>
      <c r="S11" s="180" t="s">
        <v>468</v>
      </c>
    </row>
    <row r="12" spans="2:19" ht="46.8">
      <c r="B12" s="176" t="s">
        <v>15</v>
      </c>
      <c r="C12" s="171" t="s">
        <v>469</v>
      </c>
      <c r="D12" s="172" t="s">
        <v>467</v>
      </c>
      <c r="E12" s="178">
        <f>E338</f>
        <v>3.1736788921652486</v>
      </c>
      <c r="F12" s="178">
        <f t="shared" ref="F12:Q12" si="8">F338</f>
        <v>3.6029022302158649</v>
      </c>
      <c r="G12" s="178">
        <f t="shared" si="8"/>
        <v>3.0210887897995322</v>
      </c>
      <c r="H12" s="178">
        <f t="shared" si="8"/>
        <v>3.628438854532734</v>
      </c>
      <c r="I12" s="178">
        <f t="shared" si="8"/>
        <v>6.352183979795254</v>
      </c>
      <c r="J12" s="178">
        <f t="shared" si="8"/>
        <v>5.5025959144795555</v>
      </c>
      <c r="K12" s="179">
        <f t="shared" si="8"/>
        <v>5.8047711445993473</v>
      </c>
      <c r="L12" s="179">
        <f t="shared" si="8"/>
        <v>6.1235403371174444</v>
      </c>
      <c r="M12" s="179">
        <f t="shared" si="8"/>
        <v>6.4598147500081291</v>
      </c>
      <c r="N12" s="179">
        <f t="shared" si="8"/>
        <v>6.8145556830063949</v>
      </c>
      <c r="O12" s="179">
        <f t="shared" si="8"/>
        <v>7.1887772256528448</v>
      </c>
      <c r="P12" s="179">
        <f t="shared" si="8"/>
        <v>7.5835491562475363</v>
      </c>
      <c r="Q12" s="179">
        <f t="shared" si="8"/>
        <v>8</v>
      </c>
      <c r="S12" s="180" t="s">
        <v>470</v>
      </c>
    </row>
    <row r="13" spans="2:19" ht="31.2">
      <c r="B13" s="176" t="s">
        <v>16</v>
      </c>
      <c r="C13" s="171" t="s">
        <v>471</v>
      </c>
      <c r="D13" s="172" t="s">
        <v>453</v>
      </c>
      <c r="E13" s="178">
        <f>E382</f>
        <v>14.968791796700847</v>
      </c>
      <c r="F13" s="178">
        <f t="shared" ref="F13:Q14" si="9">F382</f>
        <v>14.484290701364646</v>
      </c>
      <c r="G13" s="178">
        <f t="shared" si="9"/>
        <v>24.347130282970831</v>
      </c>
      <c r="H13" s="178">
        <f t="shared" si="9"/>
        <v>20.783091721988892</v>
      </c>
      <c r="I13" s="178">
        <f t="shared" si="9"/>
        <v>17.661851257356876</v>
      </c>
      <c r="J13" s="179">
        <f t="shared" si="9"/>
        <v>18.445872234458012</v>
      </c>
      <c r="K13" s="179">
        <f t="shared" si="9"/>
        <v>19.264696408776576</v>
      </c>
      <c r="L13" s="179">
        <f t="shared" si="9"/>
        <v>20.119868716700662</v>
      </c>
      <c r="M13" s="179">
        <f t="shared" si="9"/>
        <v>21.013002675341806</v>
      </c>
      <c r="N13" s="179">
        <f t="shared" si="9"/>
        <v>21.945783426877576</v>
      </c>
      <c r="O13" s="179">
        <f t="shared" si="9"/>
        <v>22.919970918034451</v>
      </c>
      <c r="P13" s="179">
        <f t="shared" si="9"/>
        <v>23.937403220710081</v>
      </c>
      <c r="Q13" s="179">
        <f t="shared" si="9"/>
        <v>25</v>
      </c>
      <c r="S13" s="180" t="s">
        <v>472</v>
      </c>
    </row>
    <row r="14" spans="2:19" ht="46.8">
      <c r="B14" s="176" t="s">
        <v>17</v>
      </c>
      <c r="C14" s="171" t="s">
        <v>473</v>
      </c>
      <c r="D14" s="172" t="s">
        <v>453</v>
      </c>
      <c r="E14" s="178">
        <f>E383</f>
        <v>13.007133303611235</v>
      </c>
      <c r="F14" s="178">
        <f t="shared" si="9"/>
        <v>13.341796255157092</v>
      </c>
      <c r="G14" s="178">
        <f t="shared" si="9"/>
        <v>18.680439368589511</v>
      </c>
      <c r="H14" s="178">
        <f t="shared" si="9"/>
        <v>15.140224901774827</v>
      </c>
      <c r="I14" s="178">
        <f t="shared" si="9"/>
        <v>7.8544676297485276</v>
      </c>
      <c r="J14" s="179">
        <f t="shared" si="9"/>
        <v>8.8278695996934999</v>
      </c>
      <c r="K14" s="179">
        <f t="shared" si="9"/>
        <v>9.9219050027057971</v>
      </c>
      <c r="L14" s="179">
        <f t="shared" si="9"/>
        <v>11.151523906304218</v>
      </c>
      <c r="M14" s="179">
        <f t="shared" si="9"/>
        <v>12.533529135681237</v>
      </c>
      <c r="N14" s="179">
        <f t="shared" si="9"/>
        <v>14.086805885441731</v>
      </c>
      <c r="O14" s="179">
        <f t="shared" si="9"/>
        <v>15.832579787060114</v>
      </c>
      <c r="P14" s="179">
        <f t="shared" si="9"/>
        <v>17.794706958565008</v>
      </c>
      <c r="Q14" s="179">
        <f t="shared" si="9"/>
        <v>20</v>
      </c>
      <c r="S14" s="180" t="s">
        <v>474</v>
      </c>
    </row>
    <row r="15" spans="2:19" ht="62.4">
      <c r="B15" s="176" t="s">
        <v>19</v>
      </c>
      <c r="C15" s="171" t="s">
        <v>475</v>
      </c>
      <c r="D15" s="172" t="s">
        <v>453</v>
      </c>
      <c r="E15" s="184">
        <f>E447</f>
        <v>6.2778570804323124</v>
      </c>
      <c r="F15" s="184">
        <f t="shared" ref="F15:Q15" si="10">F447</f>
        <v>6.6826570724232122</v>
      </c>
      <c r="G15" s="184">
        <f t="shared" si="10"/>
        <v>5.4220059736005393</v>
      </c>
      <c r="H15" s="184">
        <f t="shared" si="10"/>
        <v>5.210896015851989</v>
      </c>
      <c r="I15" s="184">
        <f t="shared" si="10"/>
        <v>4.929480360871449</v>
      </c>
      <c r="J15" s="184">
        <f t="shared" si="10"/>
        <v>5.1703813361844455</v>
      </c>
      <c r="K15" s="179">
        <f t="shared" si="10"/>
        <v>5.2814751789415766</v>
      </c>
      <c r="L15" s="179">
        <f t="shared" si="10"/>
        <v>5.3949560490949597</v>
      </c>
      <c r="M15" s="179">
        <f t="shared" si="10"/>
        <v>5.5108752357138115</v>
      </c>
      <c r="N15" s="179">
        <f t="shared" si="10"/>
        <v>5.6292851298943347</v>
      </c>
      <c r="O15" s="179">
        <f t="shared" si="10"/>
        <v>5.7502392484385272</v>
      </c>
      <c r="P15" s="179">
        <f t="shared" si="10"/>
        <v>5.8737922580417496</v>
      </c>
      <c r="Q15" s="179">
        <f t="shared" si="10"/>
        <v>6</v>
      </c>
      <c r="S15" s="180" t="s">
        <v>476</v>
      </c>
    </row>
    <row r="16" spans="2:19" ht="78">
      <c r="B16" s="176" t="s">
        <v>20</v>
      </c>
      <c r="C16" s="171" t="s">
        <v>477</v>
      </c>
      <c r="D16" s="172" t="s">
        <v>478</v>
      </c>
      <c r="E16" s="178">
        <f>E515</f>
        <v>2.2999999999999998</v>
      </c>
      <c r="F16" s="178">
        <f t="shared" ref="F16:Q16" si="11">F515</f>
        <v>2.2000000000000002</v>
      </c>
      <c r="G16" s="178">
        <f t="shared" si="11"/>
        <v>2.2000000000000002</v>
      </c>
      <c r="H16" s="178">
        <f t="shared" si="11"/>
        <v>1.6</v>
      </c>
      <c r="I16" s="178">
        <f t="shared" si="11"/>
        <v>2.1</v>
      </c>
      <c r="J16" s="179">
        <f t="shared" si="11"/>
        <v>2.5523597240849094</v>
      </c>
      <c r="K16" s="179">
        <f t="shared" si="11"/>
        <v>3.1021619814908541</v>
      </c>
      <c r="L16" s="179">
        <f t="shared" si="11"/>
        <v>3.7703968091165199</v>
      </c>
      <c r="M16" s="179">
        <f t="shared" si="11"/>
        <v>4.5825756949558398</v>
      </c>
      <c r="N16" s="179">
        <f t="shared" si="11"/>
        <v>5.5697055411312855</v>
      </c>
      <c r="O16" s="179">
        <f t="shared" si="11"/>
        <v>6.7694724277123983</v>
      </c>
      <c r="P16" s="179">
        <f t="shared" si="11"/>
        <v>8.2276803703792467</v>
      </c>
      <c r="Q16" s="179">
        <f t="shared" si="11"/>
        <v>10</v>
      </c>
      <c r="S16" s="180" t="s">
        <v>479</v>
      </c>
    </row>
    <row r="17" spans="2:19" ht="78">
      <c r="B17" s="176" t="s">
        <v>21</v>
      </c>
      <c r="C17" s="171" t="s">
        <v>480</v>
      </c>
      <c r="D17" s="172" t="s">
        <v>478</v>
      </c>
      <c r="E17" s="178">
        <f>E553</f>
        <v>1.8</v>
      </c>
      <c r="F17" s="178">
        <f t="shared" ref="F17:Q17" si="12">F553</f>
        <v>1</v>
      </c>
      <c r="G17" s="178">
        <f t="shared" si="12"/>
        <v>0.6</v>
      </c>
      <c r="H17" s="178">
        <f t="shared" si="12"/>
        <v>0.2</v>
      </c>
      <c r="I17" s="178">
        <f t="shared" si="12"/>
        <v>0.5</v>
      </c>
      <c r="J17" s="179">
        <f t="shared" si="12"/>
        <v>0.66676071608166199</v>
      </c>
      <c r="K17" s="179">
        <f t="shared" si="12"/>
        <v>0.88913970501946138</v>
      </c>
      <c r="L17" s="179">
        <f t="shared" si="12"/>
        <v>1.1856868528308275</v>
      </c>
      <c r="M17" s="179">
        <f t="shared" si="12"/>
        <v>1.5811388300841895</v>
      </c>
      <c r="N17" s="179">
        <f t="shared" si="12"/>
        <v>2.1084825171429111</v>
      </c>
      <c r="O17" s="179">
        <f t="shared" si="12"/>
        <v>2.8117066259517451</v>
      </c>
      <c r="P17" s="179">
        <f t="shared" si="12"/>
        <v>3.7494710466622787</v>
      </c>
      <c r="Q17" s="179">
        <f t="shared" si="12"/>
        <v>5</v>
      </c>
      <c r="S17" s="180" t="s">
        <v>481</v>
      </c>
    </row>
    <row r="18" spans="2:19" ht="109.95" customHeight="1">
      <c r="B18" s="176" t="s">
        <v>22</v>
      </c>
      <c r="C18" s="171" t="s">
        <v>482</v>
      </c>
      <c r="D18" s="172" t="s">
        <v>453</v>
      </c>
      <c r="E18" s="183" t="str">
        <f>E591</f>
        <v>Հ/Չ</v>
      </c>
      <c r="F18" s="183" t="str">
        <f t="shared" ref="F18:Q18" si="13">F591</f>
        <v>Հ/Չ</v>
      </c>
      <c r="G18" s="183" t="str">
        <f t="shared" si="13"/>
        <v>Հ/Չ</v>
      </c>
      <c r="H18" s="183" t="str">
        <f t="shared" si="13"/>
        <v>Հ/Չ</v>
      </c>
      <c r="I18" s="186" t="str">
        <f t="shared" si="13"/>
        <v>Հ/Չ</v>
      </c>
      <c r="J18" s="178">
        <f t="shared" si="13"/>
        <v>21.090162464124642</v>
      </c>
      <c r="K18" s="179">
        <f t="shared" si="13"/>
        <v>23.109543321564541</v>
      </c>
      <c r="L18" s="179">
        <f t="shared" si="13"/>
        <v>25.322279685598161</v>
      </c>
      <c r="M18" s="179">
        <f t="shared" si="13"/>
        <v>27.746885325825907</v>
      </c>
      <c r="N18" s="179">
        <f t="shared" si="13"/>
        <v>30.403646703357506</v>
      </c>
      <c r="O18" s="179">
        <f t="shared" si="13"/>
        <v>33.314792705839196</v>
      </c>
      <c r="P18" s="179">
        <f t="shared" si="13"/>
        <v>36.504680634592162</v>
      </c>
      <c r="Q18" s="187">
        <f t="shared" si="13"/>
        <v>40</v>
      </c>
      <c r="S18" s="180" t="s">
        <v>483</v>
      </c>
    </row>
    <row r="19" spans="2:19" ht="62.4">
      <c r="B19" s="176" t="s">
        <v>24</v>
      </c>
      <c r="C19" s="171" t="s">
        <v>484</v>
      </c>
      <c r="D19" s="172" t="s">
        <v>485</v>
      </c>
      <c r="E19" s="169">
        <f>E612</f>
        <v>155</v>
      </c>
      <c r="F19" s="169">
        <f t="shared" ref="F19:Q19" si="14">F612</f>
        <v>179</v>
      </c>
      <c r="G19" s="169">
        <f t="shared" si="14"/>
        <v>171</v>
      </c>
      <c r="H19" s="169">
        <f t="shared" si="14"/>
        <v>211</v>
      </c>
      <c r="I19" s="169">
        <f t="shared" si="14"/>
        <v>333</v>
      </c>
      <c r="J19" s="188">
        <f t="shared" si="14"/>
        <v>351</v>
      </c>
      <c r="K19" s="188">
        <f t="shared" si="14"/>
        <v>369</v>
      </c>
      <c r="L19" s="188">
        <f t="shared" si="14"/>
        <v>388</v>
      </c>
      <c r="M19" s="188">
        <f t="shared" si="14"/>
        <v>409</v>
      </c>
      <c r="N19" s="188">
        <f t="shared" si="14"/>
        <v>430</v>
      </c>
      <c r="O19" s="188">
        <f t="shared" si="14"/>
        <v>452</v>
      </c>
      <c r="P19" s="188">
        <f t="shared" si="14"/>
        <v>476</v>
      </c>
      <c r="Q19" s="189">
        <f t="shared" si="14"/>
        <v>500</v>
      </c>
      <c r="S19" s="180" t="s">
        <v>486</v>
      </c>
    </row>
    <row r="20" spans="2:19" ht="46.8">
      <c r="B20" s="176" t="s">
        <v>25</v>
      </c>
      <c r="C20" s="171" t="s">
        <v>487</v>
      </c>
      <c r="D20" s="172" t="s">
        <v>478</v>
      </c>
      <c r="E20" s="190" t="str">
        <f>E630</f>
        <v>Հ/Չ</v>
      </c>
      <c r="F20" s="190" t="str">
        <f t="shared" ref="F20:Q20" si="15">F630</f>
        <v>Հ/Չ</v>
      </c>
      <c r="G20" s="190" t="str">
        <f t="shared" si="15"/>
        <v>Հ/Չ</v>
      </c>
      <c r="H20" s="178">
        <f t="shared" si="15"/>
        <v>20.9</v>
      </c>
      <c r="I20" s="178">
        <f t="shared" si="15"/>
        <v>12.8</v>
      </c>
      <c r="J20" s="179">
        <f t="shared" si="15"/>
        <v>13.917179366662285</v>
      </c>
      <c r="K20" s="179">
        <f t="shared" si="15"/>
        <v>15.131865744050817</v>
      </c>
      <c r="L20" s="179">
        <f t="shared" si="15"/>
        <v>16.452569508766242</v>
      </c>
      <c r="M20" s="179">
        <f t="shared" si="15"/>
        <v>17.888543819998326</v>
      </c>
      <c r="N20" s="179">
        <f t="shared" si="15"/>
        <v>19.449849449321469</v>
      </c>
      <c r="O20" s="179">
        <f t="shared" si="15"/>
        <v>21.147425268811297</v>
      </c>
      <c r="P20" s="179">
        <f t="shared" si="15"/>
        <v>22.99316489133853</v>
      </c>
      <c r="Q20" s="179">
        <f t="shared" si="15"/>
        <v>25</v>
      </c>
      <c r="S20" s="180" t="s">
        <v>488</v>
      </c>
    </row>
    <row r="21" spans="2:19" ht="46.8">
      <c r="B21" s="176" t="s">
        <v>26</v>
      </c>
      <c r="C21" s="171" t="s">
        <v>489</v>
      </c>
      <c r="D21" s="172" t="s">
        <v>478</v>
      </c>
      <c r="E21" s="191" t="str">
        <f>E668</f>
        <v>Հ/Չ</v>
      </c>
      <c r="F21" s="191" t="str">
        <f t="shared" ref="F21:Q21" si="16">F668</f>
        <v>Հ/Չ</v>
      </c>
      <c r="G21" s="191" t="str">
        <f t="shared" si="16"/>
        <v>Հ/Չ</v>
      </c>
      <c r="H21" s="192">
        <f t="shared" si="16"/>
        <v>23.1</v>
      </c>
      <c r="I21" s="192">
        <f t="shared" si="16"/>
        <v>13.6</v>
      </c>
      <c r="J21" s="193">
        <f t="shared" si="16"/>
        <v>14.675369536467768</v>
      </c>
      <c r="K21" s="193">
        <f t="shared" si="16"/>
        <v>15.835769928815159</v>
      </c>
      <c r="L21" s="193">
        <f t="shared" si="16"/>
        <v>17.087924676459288</v>
      </c>
      <c r="M21" s="193">
        <f t="shared" si="16"/>
        <v>18.439088914585767</v>
      </c>
      <c r="N21" s="193">
        <f t="shared" si="16"/>
        <v>19.897091451274449</v>
      </c>
      <c r="O21" s="193">
        <f t="shared" si="16"/>
        <v>21.470380128554872</v>
      </c>
      <c r="P21" s="193">
        <f t="shared" si="16"/>
        <v>23.168070770218904</v>
      </c>
      <c r="Q21" s="193">
        <f t="shared" si="16"/>
        <v>25</v>
      </c>
      <c r="S21" s="180" t="s">
        <v>490</v>
      </c>
    </row>
    <row r="22" spans="2:19" ht="78">
      <c r="B22" s="176" t="s">
        <v>28</v>
      </c>
      <c r="C22" s="171" t="s">
        <v>780</v>
      </c>
      <c r="D22" s="172" t="s">
        <v>453</v>
      </c>
      <c r="E22" s="194">
        <f>E706</f>
        <v>0.29083031642408308</v>
      </c>
      <c r="F22" s="194">
        <f t="shared" ref="F22:Q22" si="17">F706</f>
        <v>0.23721971037742959</v>
      </c>
      <c r="G22" s="194">
        <f t="shared" si="17"/>
        <v>0.28305110918102983</v>
      </c>
      <c r="H22" s="194">
        <f t="shared" si="17"/>
        <v>0.24513934803803517</v>
      </c>
      <c r="I22" s="194">
        <f t="shared" si="17"/>
        <v>0.16975297187652094</v>
      </c>
      <c r="J22" s="194">
        <f t="shared" si="17"/>
        <v>0.14032326701192541</v>
      </c>
      <c r="K22" s="195">
        <f t="shared" si="17"/>
        <v>0.18576688701897964</v>
      </c>
      <c r="L22" s="195">
        <f t="shared" si="17"/>
        <v>0.24592740069107402</v>
      </c>
      <c r="M22" s="195">
        <f t="shared" si="17"/>
        <v>0.32557086669858903</v>
      </c>
      <c r="N22" s="195">
        <f t="shared" si="17"/>
        <v>0.43100682943426727</v>
      </c>
      <c r="O22" s="195">
        <f t="shared" si="17"/>
        <v>0.57058817609427281</v>
      </c>
      <c r="P22" s="195">
        <f t="shared" si="17"/>
        <v>0.75537287222554694</v>
      </c>
      <c r="Q22" s="195">
        <f t="shared" si="17"/>
        <v>1</v>
      </c>
      <c r="S22" s="180" t="s">
        <v>491</v>
      </c>
    </row>
    <row r="23" spans="2:19" ht="62.4">
      <c r="B23" s="176" t="s">
        <v>29</v>
      </c>
      <c r="C23" s="171" t="s">
        <v>781</v>
      </c>
      <c r="D23" s="172" t="s">
        <v>453</v>
      </c>
      <c r="E23" s="196" t="s">
        <v>54</v>
      </c>
      <c r="F23" s="196" t="s">
        <v>54</v>
      </c>
      <c r="G23" s="196" t="s">
        <v>54</v>
      </c>
      <c r="H23" s="196" t="s">
        <v>54</v>
      </c>
      <c r="I23" s="196" t="s">
        <v>54</v>
      </c>
      <c r="J23" s="196" t="s">
        <v>54</v>
      </c>
      <c r="K23" s="196" t="s">
        <v>54</v>
      </c>
      <c r="L23" s="179">
        <v>60</v>
      </c>
      <c r="M23" s="179">
        <f>L23+(Q23-L23)/(Q22-L22)</f>
        <v>99.783967787045526</v>
      </c>
      <c r="N23" s="179">
        <f>M23+(Q23-M23)/(Q22-M22)</f>
        <v>85.276931682078001</v>
      </c>
      <c r="O23" s="179">
        <f>N23+(Q23-N23)/(Q22-N22)</f>
        <v>93.577678619384812</v>
      </c>
      <c r="P23" s="179">
        <f>O23+(Q23-O23)/(Q22-O22)</f>
        <v>85.246099421485837</v>
      </c>
      <c r="Q23" s="179">
        <v>90</v>
      </c>
    </row>
    <row r="24" spans="2:19" ht="46.8">
      <c r="B24" s="176" t="s">
        <v>30</v>
      </c>
      <c r="C24" s="171" t="s">
        <v>782</v>
      </c>
      <c r="D24" s="172" t="s">
        <v>453</v>
      </c>
      <c r="E24" s="196" t="s">
        <v>54</v>
      </c>
      <c r="F24" s="196" t="s">
        <v>54</v>
      </c>
      <c r="G24" s="196" t="s">
        <v>54</v>
      </c>
      <c r="H24" s="196" t="s">
        <v>54</v>
      </c>
      <c r="I24" s="196" t="s">
        <v>54</v>
      </c>
      <c r="J24" s="196" t="s">
        <v>54</v>
      </c>
      <c r="K24" s="196" t="s">
        <v>54</v>
      </c>
      <c r="L24" s="189">
        <v>5</v>
      </c>
      <c r="M24" s="189">
        <v>5</v>
      </c>
      <c r="N24" s="189">
        <v>5</v>
      </c>
      <c r="O24" s="189">
        <v>5</v>
      </c>
      <c r="P24" s="189">
        <v>5</v>
      </c>
      <c r="Q24" s="189">
        <v>5</v>
      </c>
    </row>
    <row r="25" spans="2:19" ht="93.6">
      <c r="B25" s="176" t="s">
        <v>31</v>
      </c>
      <c r="C25" s="171" t="s">
        <v>783</v>
      </c>
      <c r="D25" s="172"/>
      <c r="E25" s="196" t="s">
        <v>54</v>
      </c>
      <c r="F25" s="196" t="s">
        <v>54</v>
      </c>
      <c r="G25" s="196" t="s">
        <v>54</v>
      </c>
      <c r="H25" s="196" t="s">
        <v>54</v>
      </c>
      <c r="I25" s="196" t="s">
        <v>54</v>
      </c>
      <c r="J25" s="196" t="s">
        <v>54</v>
      </c>
      <c r="K25" s="196" t="s">
        <v>54</v>
      </c>
      <c r="L25" s="179">
        <v>1.5</v>
      </c>
      <c r="M25" s="179">
        <v>1.6</v>
      </c>
      <c r="N25" s="179">
        <v>1.7000000000000002</v>
      </c>
      <c r="O25" s="179">
        <v>1.8</v>
      </c>
      <c r="P25" s="179">
        <v>1.9</v>
      </c>
      <c r="Q25" s="179">
        <v>2</v>
      </c>
    </row>
    <row r="26" spans="2:19" ht="31.2">
      <c r="B26" s="176" t="s">
        <v>33</v>
      </c>
      <c r="C26" s="171" t="s">
        <v>492</v>
      </c>
      <c r="D26" s="169"/>
      <c r="E26" s="196" t="str">
        <f>E731</f>
        <v>Հ/Չ</v>
      </c>
      <c r="F26" s="196" t="str">
        <f t="shared" ref="F26:Q26" si="18">F731</f>
        <v>Հ/Չ</v>
      </c>
      <c r="G26" s="197">
        <f t="shared" si="18"/>
        <v>3.0116666666666667</v>
      </c>
      <c r="H26" s="196" t="str">
        <f t="shared" si="18"/>
        <v>Հ/Չ</v>
      </c>
      <c r="I26" s="196" t="str">
        <f t="shared" si="18"/>
        <v>Հ/Չ</v>
      </c>
      <c r="J26" s="196" t="str">
        <f t="shared" si="18"/>
        <v>Հ/Չ</v>
      </c>
      <c r="K26" s="197">
        <f t="shared" si="18"/>
        <v>3.1</v>
      </c>
      <c r="L26" s="195">
        <f t="shared" si="18"/>
        <v>3.1833333333333336</v>
      </c>
      <c r="M26" s="195">
        <f t="shared" si="18"/>
        <v>3.2666666666666671</v>
      </c>
      <c r="N26" s="195">
        <f t="shared" si="18"/>
        <v>3.3500000000000005</v>
      </c>
      <c r="O26" s="195">
        <f t="shared" si="18"/>
        <v>3.4333333333333336</v>
      </c>
      <c r="P26" s="195">
        <f t="shared" si="18"/>
        <v>3.5166666666666666</v>
      </c>
      <c r="Q26" s="195">
        <f t="shared" si="18"/>
        <v>3.6</v>
      </c>
      <c r="S26" s="180" t="s">
        <v>493</v>
      </c>
    </row>
    <row r="35" spans="1:19" ht="15" thickBot="1">
      <c r="A35" s="198" t="s">
        <v>494</v>
      </c>
      <c r="B35" s="199"/>
      <c r="C35" s="199"/>
      <c r="D35" s="199"/>
      <c r="E35" s="199"/>
      <c r="F35" s="199"/>
      <c r="G35" s="199"/>
      <c r="H35" s="199"/>
      <c r="I35" s="199"/>
      <c r="J35" s="199"/>
      <c r="K35" s="199"/>
      <c r="L35" s="199"/>
      <c r="M35" s="199"/>
      <c r="N35" s="199"/>
      <c r="O35" s="199"/>
      <c r="P35" s="199"/>
      <c r="Q35" s="199"/>
      <c r="R35" s="199"/>
      <c r="S35" s="199"/>
    </row>
    <row r="37" spans="1:19">
      <c r="C37" s="200"/>
      <c r="E37" s="169">
        <v>2018</v>
      </c>
      <c r="F37" s="169">
        <v>2019</v>
      </c>
      <c r="G37" s="169">
        <v>2020</v>
      </c>
      <c r="H37" s="169">
        <v>2021</v>
      </c>
      <c r="I37" s="169">
        <v>2022</v>
      </c>
      <c r="J37" s="169">
        <v>2023</v>
      </c>
      <c r="K37" s="169">
        <v>2024</v>
      </c>
      <c r="L37" s="169">
        <v>2025</v>
      </c>
      <c r="M37" s="169">
        <v>2026</v>
      </c>
      <c r="N37" s="169">
        <v>2027</v>
      </c>
      <c r="O37" s="169">
        <v>2028</v>
      </c>
      <c r="P37" s="169">
        <v>2029</v>
      </c>
      <c r="Q37" s="169">
        <v>2030</v>
      </c>
    </row>
    <row r="38" spans="1:19" ht="46.8">
      <c r="B38" s="176" t="s">
        <v>6</v>
      </c>
      <c r="C38" s="171" t="str">
        <f>C4</f>
        <v>ՓՄՁ սուբյեկտների ստեղծած համախառն ավելացված արժեք` մեկ զբաղվածի հաշվով (հազար դրամ)</v>
      </c>
      <c r="D38" s="172" t="s">
        <v>495</v>
      </c>
      <c r="E38" s="173">
        <f t="shared" ref="E38:J38" si="19">E43/(E44+E45)*1000000</f>
        <v>5807.9788127434877</v>
      </c>
      <c r="F38" s="173">
        <f t="shared" si="19"/>
        <v>6110.2912565804536</v>
      </c>
      <c r="G38" s="173">
        <f t="shared" si="19"/>
        <v>5924.2241118518168</v>
      </c>
      <c r="H38" s="173">
        <f t="shared" si="19"/>
        <v>6774.3740753984112</v>
      </c>
      <c r="I38" s="173">
        <f t="shared" si="19"/>
        <v>7862.5925037908737</v>
      </c>
      <c r="J38" s="173">
        <f t="shared" si="19"/>
        <v>8843.4692958547621</v>
      </c>
      <c r="K38" s="174">
        <f t="shared" ref="K38:Q38" si="20">J38*(1+K53/100)</f>
        <v>9545.4445478424041</v>
      </c>
      <c r="L38" s="174">
        <f t="shared" si="20"/>
        <v>10231.036703656546</v>
      </c>
      <c r="M38" s="174">
        <f t="shared" si="20"/>
        <v>10895.942127175076</v>
      </c>
      <c r="N38" s="174">
        <f t="shared" si="20"/>
        <v>11536.672884876542</v>
      </c>
      <c r="O38" s="174">
        <f t="shared" si="20"/>
        <v>12150.522397007981</v>
      </c>
      <c r="P38" s="174">
        <f t="shared" si="20"/>
        <v>12735.510236828717</v>
      </c>
      <c r="Q38" s="174">
        <f t="shared" si="20"/>
        <v>13290.313222095087</v>
      </c>
    </row>
    <row r="40" spans="1:19">
      <c r="J40" s="201"/>
      <c r="K40" s="201"/>
      <c r="L40" s="201"/>
      <c r="M40" s="201"/>
      <c r="N40" s="201"/>
      <c r="O40" s="201"/>
      <c r="P40" s="201"/>
      <c r="Q40" s="201"/>
    </row>
    <row r="42" spans="1:19">
      <c r="C42" s="169"/>
      <c r="D42" s="169"/>
      <c r="E42" s="169">
        <v>2018</v>
      </c>
      <c r="F42" s="169">
        <v>2019</v>
      </c>
      <c r="G42" s="169">
        <v>2020</v>
      </c>
      <c r="H42" s="169">
        <v>2021</v>
      </c>
      <c r="I42" s="169">
        <v>2022</v>
      </c>
      <c r="J42" s="169">
        <v>2023</v>
      </c>
    </row>
    <row r="43" spans="1:19" ht="28.8">
      <c r="C43" s="202" t="s">
        <v>496</v>
      </c>
      <c r="D43" s="170" t="s">
        <v>497</v>
      </c>
      <c r="E43" s="184">
        <v>1417.7799000000002</v>
      </c>
      <c r="F43" s="184">
        <v>1708.5352</v>
      </c>
      <c r="G43" s="184">
        <v>1625.3878999999999</v>
      </c>
      <c r="H43" s="184">
        <v>1932.4443999999999</v>
      </c>
      <c r="I43" s="184">
        <v>2426.6790999999998</v>
      </c>
      <c r="J43" s="184">
        <v>2985.06</v>
      </c>
    </row>
    <row r="44" spans="1:19">
      <c r="C44" s="170" t="s">
        <v>498</v>
      </c>
      <c r="D44" s="170" t="s">
        <v>499</v>
      </c>
      <c r="E44" s="173">
        <v>212963</v>
      </c>
      <c r="F44" s="173">
        <v>248069</v>
      </c>
      <c r="G44" s="173">
        <v>232955</v>
      </c>
      <c r="H44" s="173">
        <v>240656</v>
      </c>
      <c r="I44" s="173">
        <v>256583</v>
      </c>
      <c r="J44" s="173">
        <v>283102</v>
      </c>
    </row>
    <row r="45" spans="1:19" ht="28.8">
      <c r="C45" s="170" t="s">
        <v>500</v>
      </c>
      <c r="D45" s="170" t="s">
        <v>485</v>
      </c>
      <c r="E45" s="173">
        <v>31146</v>
      </c>
      <c r="F45" s="173">
        <v>31547</v>
      </c>
      <c r="G45" s="173">
        <v>41408</v>
      </c>
      <c r="H45" s="173">
        <v>44602</v>
      </c>
      <c r="I45" s="173">
        <v>52053</v>
      </c>
      <c r="J45" s="173">
        <v>54442</v>
      </c>
    </row>
    <row r="46" spans="1:19">
      <c r="C46" s="200"/>
      <c r="E46" s="203"/>
      <c r="F46" s="203"/>
      <c r="G46" s="203"/>
      <c r="H46" s="203"/>
      <c r="I46" s="203"/>
    </row>
    <row r="47" spans="1:19">
      <c r="G47" t="s">
        <v>501</v>
      </c>
      <c r="J47" s="204">
        <f>((J38/E38)^(1/5)-1)*100</f>
        <v>8.7726050461803595</v>
      </c>
    </row>
    <row r="48" spans="1:19">
      <c r="G48" t="s">
        <v>502</v>
      </c>
      <c r="J48" s="204">
        <f>((AVERAGE(F38/E38,G38/F38,H38/G38,I38/H38,J38/I38))-1)*100</f>
        <v>9.0098727330589092</v>
      </c>
    </row>
    <row r="49" spans="3:35">
      <c r="I49" s="204"/>
    </row>
    <row r="50" spans="3:35" ht="28.8">
      <c r="I50" s="170" t="s">
        <v>503</v>
      </c>
      <c r="J50" s="169">
        <v>0.1</v>
      </c>
    </row>
    <row r="52" spans="3:35">
      <c r="I52" s="169"/>
      <c r="J52" s="169">
        <v>2023</v>
      </c>
      <c r="K52" s="169">
        <v>2024</v>
      </c>
      <c r="L52" s="169">
        <v>2025</v>
      </c>
      <c r="M52" s="169">
        <v>2026</v>
      </c>
      <c r="N52" s="169">
        <v>2027</v>
      </c>
      <c r="O52" s="169">
        <v>2028</v>
      </c>
      <c r="P52" s="169">
        <v>2029</v>
      </c>
      <c r="Q52" s="169">
        <v>2030</v>
      </c>
    </row>
    <row r="53" spans="3:35" ht="28.8">
      <c r="I53" s="170" t="s">
        <v>504</v>
      </c>
      <c r="J53" s="178">
        <f>J47</f>
        <v>8.7726050461803595</v>
      </c>
      <c r="K53" s="178">
        <f>J53 * EXP(-J50*(K52-J52))</f>
        <v>7.9377812994350663</v>
      </c>
      <c r="L53" s="178">
        <f>K53 * EXP(-J50*(L52-K52))</f>
        <v>7.1824015359149493</v>
      </c>
      <c r="M53" s="178">
        <f>L53 * EXP(-J50*(M52-L52))</f>
        <v>6.4989056610547928</v>
      </c>
      <c r="N53" s="178">
        <f>M53 * EXP(-J50*(N52-M52))</f>
        <v>5.8804530184080992</v>
      </c>
      <c r="O53" s="178">
        <f>N53 * EXP(-J50*(O52-N52))</f>
        <v>5.3208539260581489</v>
      </c>
      <c r="P53" s="178">
        <f>O53 * EXP(-J50*(P52-O52))</f>
        <v>4.8145077282009536</v>
      </c>
      <c r="Q53" s="178">
        <f>P53 * EXP(-J50*(Q52-P52))</f>
        <v>4.3563467418995243</v>
      </c>
    </row>
    <row r="56" spans="3:35">
      <c r="C56" s="205" t="s">
        <v>505</v>
      </c>
      <c r="D56" s="206" t="s">
        <v>506</v>
      </c>
      <c r="O56" s="205" t="s">
        <v>505</v>
      </c>
      <c r="P56" s="206" t="s">
        <v>506</v>
      </c>
      <c r="AA56" s="205" t="s">
        <v>505</v>
      </c>
      <c r="AB56" s="206" t="s">
        <v>506</v>
      </c>
    </row>
    <row r="58" spans="3:35">
      <c r="C58" s="206" t="s">
        <v>507</v>
      </c>
      <c r="E58" s="205" t="s">
        <v>508</v>
      </c>
      <c r="O58" s="206" t="s">
        <v>507</v>
      </c>
      <c r="Q58" s="205" t="s">
        <v>508</v>
      </c>
      <c r="AA58" s="206" t="s">
        <v>507</v>
      </c>
      <c r="AC58" s="205" t="s">
        <v>508</v>
      </c>
    </row>
    <row r="59" spans="3:35">
      <c r="C59" s="206" t="s">
        <v>509</v>
      </c>
      <c r="E59" s="205" t="s">
        <v>510</v>
      </c>
      <c r="O59" s="206" t="s">
        <v>509</v>
      </c>
      <c r="Q59" s="205" t="s">
        <v>511</v>
      </c>
      <c r="AA59" s="206" t="s">
        <v>509</v>
      </c>
      <c r="AC59" s="205" t="s">
        <v>512</v>
      </c>
    </row>
    <row r="60" spans="3:35">
      <c r="C60" s="206" t="s">
        <v>513</v>
      </c>
      <c r="E60" s="205" t="s">
        <v>514</v>
      </c>
      <c r="O60" s="206" t="s">
        <v>513</v>
      </c>
      <c r="Q60" s="205" t="s">
        <v>514</v>
      </c>
      <c r="AA60" s="206" t="s">
        <v>513</v>
      </c>
      <c r="AC60" s="205" t="s">
        <v>514</v>
      </c>
    </row>
    <row r="62" spans="3:35">
      <c r="C62" s="207" t="s">
        <v>515</v>
      </c>
      <c r="D62" s="377" t="s">
        <v>516</v>
      </c>
      <c r="E62" s="377" t="s">
        <v>517</v>
      </c>
      <c r="F62" s="377" t="s">
        <v>516</v>
      </c>
      <c r="G62" s="377" t="s">
        <v>517</v>
      </c>
      <c r="H62" s="377" t="s">
        <v>516</v>
      </c>
      <c r="I62" s="377" t="s">
        <v>517</v>
      </c>
      <c r="J62" s="377" t="s">
        <v>516</v>
      </c>
      <c r="K62" s="377" t="s">
        <v>517</v>
      </c>
      <c r="O62" s="207" t="s">
        <v>515</v>
      </c>
      <c r="P62" s="377" t="s">
        <v>516</v>
      </c>
      <c r="Q62" s="377" t="s">
        <v>517</v>
      </c>
      <c r="R62" s="377" t="s">
        <v>516</v>
      </c>
      <c r="S62" s="377" t="s">
        <v>517</v>
      </c>
      <c r="T62" s="377" t="s">
        <v>516</v>
      </c>
      <c r="U62" s="377" t="s">
        <v>517</v>
      </c>
      <c r="V62" s="377" t="s">
        <v>516</v>
      </c>
      <c r="W62" s="377" t="s">
        <v>517</v>
      </c>
      <c r="AA62" s="207" t="s">
        <v>515</v>
      </c>
      <c r="AB62" s="377" t="s">
        <v>516</v>
      </c>
      <c r="AC62" s="377" t="s">
        <v>517</v>
      </c>
      <c r="AD62" s="377" t="s">
        <v>516</v>
      </c>
      <c r="AE62" s="377" t="s">
        <v>517</v>
      </c>
      <c r="AF62" s="377" t="s">
        <v>516</v>
      </c>
      <c r="AG62" s="377" t="s">
        <v>517</v>
      </c>
      <c r="AH62" s="377" t="s">
        <v>516</v>
      </c>
      <c r="AI62" s="377" t="s">
        <v>517</v>
      </c>
    </row>
    <row r="63" spans="3:35">
      <c r="C63" s="207" t="s">
        <v>518</v>
      </c>
      <c r="D63" s="378" t="s">
        <v>519</v>
      </c>
      <c r="E63" s="378" t="s">
        <v>517</v>
      </c>
      <c r="F63" s="378" t="s">
        <v>520</v>
      </c>
      <c r="G63" s="378" t="s">
        <v>517</v>
      </c>
      <c r="H63" s="378" t="s">
        <v>521</v>
      </c>
      <c r="I63" s="378" t="s">
        <v>517</v>
      </c>
      <c r="J63" s="378" t="s">
        <v>522</v>
      </c>
      <c r="K63" s="378" t="s">
        <v>517</v>
      </c>
      <c r="O63" s="207" t="s">
        <v>518</v>
      </c>
      <c r="P63" s="378" t="s">
        <v>519</v>
      </c>
      <c r="Q63" s="378" t="s">
        <v>517</v>
      </c>
      <c r="R63" s="378" t="s">
        <v>520</v>
      </c>
      <c r="S63" s="378" t="s">
        <v>517</v>
      </c>
      <c r="T63" s="378" t="s">
        <v>521</v>
      </c>
      <c r="U63" s="378" t="s">
        <v>517</v>
      </c>
      <c r="V63" s="378" t="s">
        <v>522</v>
      </c>
      <c r="W63" s="378" t="s">
        <v>517</v>
      </c>
      <c r="AA63" s="207" t="s">
        <v>518</v>
      </c>
      <c r="AB63" s="378" t="s">
        <v>519</v>
      </c>
      <c r="AC63" s="378" t="s">
        <v>517</v>
      </c>
      <c r="AD63" s="378" t="s">
        <v>520</v>
      </c>
      <c r="AE63" s="378" t="s">
        <v>517</v>
      </c>
      <c r="AF63" s="378" t="s">
        <v>521</v>
      </c>
      <c r="AG63" s="378" t="s">
        <v>517</v>
      </c>
      <c r="AH63" s="378" t="s">
        <v>522</v>
      </c>
      <c r="AI63" s="378" t="s">
        <v>517</v>
      </c>
    </row>
    <row r="64" spans="3:35">
      <c r="C64" s="208" t="s">
        <v>523</v>
      </c>
      <c r="D64" s="209" t="s">
        <v>517</v>
      </c>
      <c r="E64" s="209" t="s">
        <v>517</v>
      </c>
      <c r="F64" s="209" t="s">
        <v>517</v>
      </c>
      <c r="G64" s="209" t="s">
        <v>517</v>
      </c>
      <c r="H64" s="209" t="s">
        <v>517</v>
      </c>
      <c r="I64" s="209" t="s">
        <v>517</v>
      </c>
      <c r="J64" s="209" t="s">
        <v>517</v>
      </c>
      <c r="K64" s="209" t="s">
        <v>517</v>
      </c>
      <c r="O64" s="208" t="s">
        <v>523</v>
      </c>
      <c r="P64" s="209" t="s">
        <v>517</v>
      </c>
      <c r="Q64" s="209" t="s">
        <v>517</v>
      </c>
      <c r="R64" s="209" t="s">
        <v>517</v>
      </c>
      <c r="S64" s="209" t="s">
        <v>517</v>
      </c>
      <c r="T64" s="209" t="s">
        <v>517</v>
      </c>
      <c r="U64" s="209" t="s">
        <v>517</v>
      </c>
      <c r="V64" s="209" t="s">
        <v>517</v>
      </c>
      <c r="W64" s="209" t="s">
        <v>517</v>
      </c>
      <c r="AA64" s="208" t="s">
        <v>523</v>
      </c>
      <c r="AB64" s="209" t="s">
        <v>517</v>
      </c>
      <c r="AC64" s="209" t="s">
        <v>517</v>
      </c>
      <c r="AD64" s="209" t="s">
        <v>517</v>
      </c>
      <c r="AE64" s="209" t="s">
        <v>517</v>
      </c>
      <c r="AF64" s="209" t="s">
        <v>517</v>
      </c>
      <c r="AG64" s="209" t="s">
        <v>517</v>
      </c>
      <c r="AH64" s="209" t="s">
        <v>517</v>
      </c>
      <c r="AI64" s="209" t="s">
        <v>517</v>
      </c>
    </row>
    <row r="65" spans="3:35">
      <c r="C65" s="210" t="s">
        <v>524</v>
      </c>
      <c r="D65" s="211" t="s">
        <v>525</v>
      </c>
      <c r="E65" s="211" t="s">
        <v>517</v>
      </c>
      <c r="F65" s="211" t="s">
        <v>525</v>
      </c>
      <c r="G65" s="211" t="s">
        <v>517</v>
      </c>
      <c r="H65" s="211" t="s">
        <v>525</v>
      </c>
      <c r="I65" s="211" t="s">
        <v>517</v>
      </c>
      <c r="J65" s="211" t="s">
        <v>525</v>
      </c>
      <c r="K65" s="211" t="s">
        <v>517</v>
      </c>
      <c r="O65" s="210" t="s">
        <v>524</v>
      </c>
      <c r="P65" s="211" t="s">
        <v>525</v>
      </c>
      <c r="Q65" s="211" t="s">
        <v>517</v>
      </c>
      <c r="R65" s="211" t="s">
        <v>525</v>
      </c>
      <c r="S65" s="211" t="s">
        <v>517</v>
      </c>
      <c r="T65" s="211" t="s">
        <v>525</v>
      </c>
      <c r="U65" s="211" t="s">
        <v>517</v>
      </c>
      <c r="V65" s="211" t="s">
        <v>525</v>
      </c>
      <c r="W65" s="211" t="s">
        <v>517</v>
      </c>
      <c r="AA65" s="210" t="s">
        <v>524</v>
      </c>
      <c r="AB65" s="211" t="s">
        <v>525</v>
      </c>
      <c r="AC65" s="211" t="s">
        <v>517</v>
      </c>
      <c r="AD65" s="211" t="s">
        <v>525</v>
      </c>
      <c r="AE65" s="211" t="s">
        <v>517</v>
      </c>
      <c r="AF65" s="211" t="s">
        <v>525</v>
      </c>
      <c r="AG65" s="211" t="s">
        <v>517</v>
      </c>
      <c r="AH65" s="211" t="s">
        <v>525</v>
      </c>
      <c r="AI65" s="211" t="s">
        <v>517</v>
      </c>
    </row>
    <row r="66" spans="3:35">
      <c r="C66" s="210" t="s">
        <v>526</v>
      </c>
      <c r="D66" s="212">
        <v>1228041</v>
      </c>
      <c r="E66" s="212" t="s">
        <v>517</v>
      </c>
      <c r="F66" s="212">
        <v>234473</v>
      </c>
      <c r="G66" s="212" t="s">
        <v>517</v>
      </c>
      <c r="H66" s="212">
        <v>321556</v>
      </c>
      <c r="I66" s="212" t="s">
        <v>517</v>
      </c>
      <c r="J66" s="212">
        <v>584303</v>
      </c>
      <c r="K66" s="212" t="s">
        <v>517</v>
      </c>
      <c r="O66" s="210" t="s">
        <v>526</v>
      </c>
      <c r="P66" s="213">
        <v>77112.41</v>
      </c>
      <c r="Q66" s="212" t="s">
        <v>517</v>
      </c>
      <c r="R66" s="213">
        <v>20563.75</v>
      </c>
      <c r="S66" s="212" t="s">
        <v>517</v>
      </c>
      <c r="T66" s="213">
        <v>29910.95</v>
      </c>
      <c r="U66" s="212" t="s">
        <v>517</v>
      </c>
      <c r="V66" s="213">
        <v>96759.27</v>
      </c>
      <c r="W66" s="212" t="s">
        <v>517</v>
      </c>
      <c r="AA66" s="210" t="s">
        <v>526</v>
      </c>
      <c r="AB66" s="212">
        <f>IFERROR(P66/D66*1000,"")</f>
        <v>62.793025640023423</v>
      </c>
      <c r="AC66" s="212" t="s">
        <v>517</v>
      </c>
      <c r="AD66" s="212">
        <f>IFERROR(R66/F66*1000,"")</f>
        <v>87.701995538931982</v>
      </c>
      <c r="AE66" s="212" t="s">
        <v>517</v>
      </c>
      <c r="AF66" s="212">
        <f>IFERROR(T66/H66*1000,"")</f>
        <v>93.019411859831578</v>
      </c>
      <c r="AG66" s="212" t="s">
        <v>517</v>
      </c>
      <c r="AH66" s="212">
        <f>IFERROR(V66/J66*1000,"")</f>
        <v>165.59776348914863</v>
      </c>
      <c r="AI66" s="212" t="s">
        <v>517</v>
      </c>
    </row>
    <row r="67" spans="3:35">
      <c r="C67" s="210" t="s">
        <v>527</v>
      </c>
      <c r="D67" s="211">
        <v>73498</v>
      </c>
      <c r="E67" s="211" t="s">
        <v>517</v>
      </c>
      <c r="F67" s="211">
        <v>205847</v>
      </c>
      <c r="G67" s="211" t="s">
        <v>517</v>
      </c>
      <c r="H67" s="211">
        <v>269442</v>
      </c>
      <c r="I67" s="211" t="s">
        <v>517</v>
      </c>
      <c r="J67" s="211">
        <v>443953</v>
      </c>
      <c r="K67" s="211" t="s">
        <v>517</v>
      </c>
      <c r="O67" s="210" t="s">
        <v>527</v>
      </c>
      <c r="P67" s="214">
        <v>9788.56</v>
      </c>
      <c r="Q67" s="211" t="s">
        <v>517</v>
      </c>
      <c r="R67" s="214">
        <v>4531.87</v>
      </c>
      <c r="S67" s="211" t="s">
        <v>517</v>
      </c>
      <c r="T67" s="214">
        <v>5722.54</v>
      </c>
      <c r="U67" s="211" t="s">
        <v>517</v>
      </c>
      <c r="V67" s="214">
        <v>10980.18</v>
      </c>
      <c r="W67" s="211" t="s">
        <v>517</v>
      </c>
      <c r="AA67" s="210" t="s">
        <v>527</v>
      </c>
      <c r="AB67" s="212">
        <f t="shared" ref="AB67:AB100" si="21">IFERROR(P67/D67*1000,"")</f>
        <v>133.18131105608316</v>
      </c>
      <c r="AC67" s="211" t="s">
        <v>517</v>
      </c>
      <c r="AD67" s="212">
        <f t="shared" ref="AD67:AD100" si="22">IFERROR(R67/F67*1000,"")</f>
        <v>22.015720413705328</v>
      </c>
      <c r="AE67" s="211" t="s">
        <v>517</v>
      </c>
      <c r="AF67" s="212">
        <f t="shared" ref="AF67:AF100" si="23">IFERROR(T67/H67*1000,"")</f>
        <v>21.238485462548525</v>
      </c>
      <c r="AG67" s="211" t="s">
        <v>517</v>
      </c>
      <c r="AH67" s="212">
        <f t="shared" ref="AH67:AH100" si="24">IFERROR(V67/J67*1000,"")</f>
        <v>24.732753241897228</v>
      </c>
      <c r="AI67" s="211" t="s">
        <v>517</v>
      </c>
    </row>
    <row r="68" spans="3:35">
      <c r="C68" s="210" t="s">
        <v>528</v>
      </c>
      <c r="D68" s="212">
        <v>1406846</v>
      </c>
      <c r="E68" s="212" t="s">
        <v>517</v>
      </c>
      <c r="F68" s="212">
        <v>317065</v>
      </c>
      <c r="G68" s="212" t="s">
        <v>517</v>
      </c>
      <c r="H68" s="212">
        <v>416423</v>
      </c>
      <c r="I68" s="212" t="s">
        <v>517</v>
      </c>
      <c r="J68" s="212">
        <v>768742</v>
      </c>
      <c r="K68" s="212" t="s">
        <v>517</v>
      </c>
      <c r="O68" s="210" t="s">
        <v>528</v>
      </c>
      <c r="P68" s="213">
        <v>35128.83</v>
      </c>
      <c r="Q68" s="212" t="s">
        <v>517</v>
      </c>
      <c r="R68" s="213">
        <v>9945.99</v>
      </c>
      <c r="S68" s="212" t="s">
        <v>517</v>
      </c>
      <c r="T68" s="213">
        <v>15790.04</v>
      </c>
      <c r="U68" s="212" t="s">
        <v>517</v>
      </c>
      <c r="V68" s="215">
        <v>34621</v>
      </c>
      <c r="W68" s="212" t="s">
        <v>517</v>
      </c>
      <c r="AA68" s="210" t="s">
        <v>528</v>
      </c>
      <c r="AB68" s="212">
        <f t="shared" si="21"/>
        <v>24.969918526974524</v>
      </c>
      <c r="AC68" s="212" t="s">
        <v>517</v>
      </c>
      <c r="AD68" s="212">
        <f t="shared" si="22"/>
        <v>31.368930660905495</v>
      </c>
      <c r="AE68" s="212" t="s">
        <v>517</v>
      </c>
      <c r="AF68" s="212">
        <f t="shared" si="23"/>
        <v>37.918270604649599</v>
      </c>
      <c r="AG68" s="212" t="s">
        <v>517</v>
      </c>
      <c r="AH68" s="212">
        <f t="shared" si="24"/>
        <v>45.035915820912606</v>
      </c>
      <c r="AI68" s="212" t="s">
        <v>517</v>
      </c>
    </row>
    <row r="69" spans="3:35">
      <c r="C69" s="210" t="s">
        <v>529</v>
      </c>
      <c r="D69" s="211">
        <v>442856</v>
      </c>
      <c r="E69" s="211" t="s">
        <v>517</v>
      </c>
      <c r="F69" s="211">
        <v>212006</v>
      </c>
      <c r="G69" s="211" t="s">
        <v>517</v>
      </c>
      <c r="H69" s="211">
        <v>304168</v>
      </c>
      <c r="I69" s="211" t="s">
        <v>517</v>
      </c>
      <c r="J69" s="211">
        <v>471682</v>
      </c>
      <c r="K69" s="211" t="s">
        <v>517</v>
      </c>
      <c r="O69" s="210" t="s">
        <v>529</v>
      </c>
      <c r="P69" s="216">
        <v>33315.5</v>
      </c>
      <c r="Q69" s="211" t="s">
        <v>517</v>
      </c>
      <c r="R69" s="216">
        <v>13784.9</v>
      </c>
      <c r="S69" s="211" t="s">
        <v>517</v>
      </c>
      <c r="T69" s="216">
        <v>21505.7</v>
      </c>
      <c r="U69" s="211" t="s">
        <v>517</v>
      </c>
      <c r="V69" s="216">
        <v>43037.8</v>
      </c>
      <c r="W69" s="211" t="s">
        <v>517</v>
      </c>
      <c r="AA69" s="210" t="s">
        <v>529</v>
      </c>
      <c r="AB69" s="212">
        <f t="shared" si="21"/>
        <v>75.228742525787169</v>
      </c>
      <c r="AC69" s="211" t="s">
        <v>517</v>
      </c>
      <c r="AD69" s="212">
        <f t="shared" si="22"/>
        <v>65.021272982840102</v>
      </c>
      <c r="AE69" s="211" t="s">
        <v>517</v>
      </c>
      <c r="AF69" s="212">
        <f t="shared" si="23"/>
        <v>70.703361300334024</v>
      </c>
      <c r="AG69" s="211" t="s">
        <v>517</v>
      </c>
      <c r="AH69" s="212">
        <f t="shared" si="24"/>
        <v>91.243252869518031</v>
      </c>
      <c r="AI69" s="211" t="s">
        <v>517</v>
      </c>
    </row>
    <row r="70" spans="3:35">
      <c r="C70" s="210" t="s">
        <v>530</v>
      </c>
      <c r="D70" s="212">
        <v>7802203</v>
      </c>
      <c r="E70" s="212" t="s">
        <v>517</v>
      </c>
      <c r="F70" s="212">
        <v>3937585</v>
      </c>
      <c r="G70" s="212" t="s">
        <v>517</v>
      </c>
      <c r="H70" s="212">
        <v>3993566</v>
      </c>
      <c r="I70" s="212" t="s">
        <v>517</v>
      </c>
      <c r="J70" s="212">
        <v>6132076</v>
      </c>
      <c r="K70" s="212" t="s">
        <v>517</v>
      </c>
      <c r="O70" s="210" t="s">
        <v>530</v>
      </c>
      <c r="P70" s="215">
        <v>463735.1</v>
      </c>
      <c r="Q70" s="212" t="s">
        <v>517</v>
      </c>
      <c r="R70" s="213">
        <v>216243.24</v>
      </c>
      <c r="S70" s="212" t="s">
        <v>517</v>
      </c>
      <c r="T70" s="213">
        <v>244011.73</v>
      </c>
      <c r="U70" s="212" t="s">
        <v>517</v>
      </c>
      <c r="V70" s="215">
        <v>443387.3</v>
      </c>
      <c r="W70" s="212" t="s">
        <v>517</v>
      </c>
      <c r="AA70" s="210" t="s">
        <v>530</v>
      </c>
      <c r="AB70" s="212">
        <f t="shared" si="21"/>
        <v>59.436430966997399</v>
      </c>
      <c r="AC70" s="212" t="s">
        <v>517</v>
      </c>
      <c r="AD70" s="212">
        <f t="shared" si="22"/>
        <v>54.917732569582618</v>
      </c>
      <c r="AE70" s="212" t="s">
        <v>517</v>
      </c>
      <c r="AF70" s="212">
        <f t="shared" si="23"/>
        <v>61.101213802401169</v>
      </c>
      <c r="AG70" s="212" t="s">
        <v>517</v>
      </c>
      <c r="AH70" s="212">
        <f t="shared" si="24"/>
        <v>72.306230385924763</v>
      </c>
      <c r="AI70" s="212" t="s">
        <v>517</v>
      </c>
    </row>
    <row r="71" spans="3:35">
      <c r="C71" s="210" t="s">
        <v>531</v>
      </c>
      <c r="D71" s="211">
        <v>210167</v>
      </c>
      <c r="E71" s="211" t="s">
        <v>517</v>
      </c>
      <c r="F71" s="211">
        <v>52922</v>
      </c>
      <c r="G71" s="211" t="s">
        <v>517</v>
      </c>
      <c r="H71" s="211">
        <v>71455</v>
      </c>
      <c r="I71" s="211" t="s">
        <v>517</v>
      </c>
      <c r="J71" s="211">
        <v>108156</v>
      </c>
      <c r="K71" s="211" t="s">
        <v>517</v>
      </c>
      <c r="O71" s="210" t="s">
        <v>531</v>
      </c>
      <c r="P71" s="214">
        <v>6515.66</v>
      </c>
      <c r="Q71" s="211" t="s">
        <v>517</v>
      </c>
      <c r="R71" s="214">
        <v>1857.79</v>
      </c>
      <c r="S71" s="211" t="s">
        <v>517</v>
      </c>
      <c r="T71" s="214">
        <v>2966.33</v>
      </c>
      <c r="U71" s="211" t="s">
        <v>517</v>
      </c>
      <c r="V71" s="214">
        <v>5303.44</v>
      </c>
      <c r="W71" s="211" t="s">
        <v>517</v>
      </c>
      <c r="X71" s="309"/>
      <c r="AA71" s="210" t="s">
        <v>531</v>
      </c>
      <c r="AB71" s="212">
        <f t="shared" si="21"/>
        <v>31.002298172405755</v>
      </c>
      <c r="AC71" s="211" t="s">
        <v>517</v>
      </c>
      <c r="AD71" s="212">
        <f t="shared" si="22"/>
        <v>35.104304448055629</v>
      </c>
      <c r="AE71" s="211" t="s">
        <v>517</v>
      </c>
      <c r="AF71" s="212">
        <f t="shared" si="23"/>
        <v>41.513260093765304</v>
      </c>
      <c r="AG71" s="211" t="s">
        <v>517</v>
      </c>
      <c r="AH71" s="212">
        <f t="shared" si="24"/>
        <v>49.03509745182884</v>
      </c>
      <c r="AI71" s="211" t="s">
        <v>517</v>
      </c>
    </row>
    <row r="72" spans="3:35">
      <c r="C72" s="210" t="s">
        <v>532</v>
      </c>
      <c r="D72" s="212">
        <v>616986</v>
      </c>
      <c r="E72" s="212" t="s">
        <v>517</v>
      </c>
      <c r="F72" s="212">
        <v>202593</v>
      </c>
      <c r="G72" s="212" t="s">
        <v>517</v>
      </c>
      <c r="H72" s="212">
        <v>283712</v>
      </c>
      <c r="I72" s="212" t="s">
        <v>517</v>
      </c>
      <c r="J72" s="212">
        <v>453709</v>
      </c>
      <c r="K72" s="212" t="s">
        <v>517</v>
      </c>
      <c r="O72" s="210" t="s">
        <v>532</v>
      </c>
      <c r="P72" s="215">
        <v>84985.9</v>
      </c>
      <c r="Q72" s="212" t="s">
        <v>517</v>
      </c>
      <c r="R72" s="213">
        <v>15949.13</v>
      </c>
      <c r="S72" s="212" t="s">
        <v>517</v>
      </c>
      <c r="T72" s="213">
        <v>26012.61</v>
      </c>
      <c r="U72" s="212" t="s">
        <v>517</v>
      </c>
      <c r="V72" s="213">
        <v>45215.83</v>
      </c>
      <c r="W72" s="212" t="s">
        <v>517</v>
      </c>
      <c r="AA72" s="210" t="s">
        <v>532</v>
      </c>
      <c r="AB72" s="212">
        <f t="shared" si="21"/>
        <v>137.74364410213522</v>
      </c>
      <c r="AC72" s="212" t="s">
        <v>517</v>
      </c>
      <c r="AD72" s="212">
        <f t="shared" si="22"/>
        <v>78.724980626181548</v>
      </c>
      <c r="AE72" s="212" t="s">
        <v>517</v>
      </c>
      <c r="AF72" s="212">
        <f t="shared" si="23"/>
        <v>91.68667521994135</v>
      </c>
      <c r="AG72" s="212" t="s">
        <v>517</v>
      </c>
      <c r="AH72" s="212">
        <f t="shared" si="24"/>
        <v>99.658217051017274</v>
      </c>
      <c r="AI72" s="212" t="s">
        <v>517</v>
      </c>
    </row>
    <row r="73" spans="3:35">
      <c r="C73" s="210" t="s">
        <v>533</v>
      </c>
      <c r="D73" s="211">
        <v>1511684</v>
      </c>
      <c r="E73" s="211" t="s">
        <v>517</v>
      </c>
      <c r="F73" s="211">
        <v>417745</v>
      </c>
      <c r="G73" s="211" t="s">
        <v>517</v>
      </c>
      <c r="H73" s="211">
        <v>449851</v>
      </c>
      <c r="I73" s="211" t="s">
        <v>517</v>
      </c>
      <c r="J73" s="211">
        <v>461859</v>
      </c>
      <c r="K73" s="211" t="s">
        <v>517</v>
      </c>
      <c r="O73" s="210" t="s">
        <v>533</v>
      </c>
      <c r="P73" s="214">
        <v>17364.91</v>
      </c>
      <c r="Q73" s="211" t="s">
        <v>517</v>
      </c>
      <c r="R73" s="214">
        <v>7073.23</v>
      </c>
      <c r="S73" s="211" t="s">
        <v>517</v>
      </c>
      <c r="T73" s="214">
        <v>9756.81</v>
      </c>
      <c r="U73" s="211" t="s">
        <v>517</v>
      </c>
      <c r="V73" s="214">
        <v>16732.740000000002</v>
      </c>
      <c r="W73" s="211" t="s">
        <v>517</v>
      </c>
      <c r="AA73" s="210" t="s">
        <v>533</v>
      </c>
      <c r="AB73" s="212">
        <f t="shared" si="21"/>
        <v>11.487129585283697</v>
      </c>
      <c r="AC73" s="211" t="s">
        <v>517</v>
      </c>
      <c r="AD73" s="212">
        <f t="shared" si="22"/>
        <v>16.93193215957103</v>
      </c>
      <c r="AE73" s="211" t="s">
        <v>517</v>
      </c>
      <c r="AF73" s="212">
        <f t="shared" si="23"/>
        <v>21.688981462751002</v>
      </c>
      <c r="AG73" s="211" t="s">
        <v>517</v>
      </c>
      <c r="AH73" s="212">
        <f t="shared" si="24"/>
        <v>36.229108883880144</v>
      </c>
      <c r="AI73" s="211" t="s">
        <v>517</v>
      </c>
    </row>
    <row r="74" spans="3:35">
      <c r="C74" s="210" t="s">
        <v>534</v>
      </c>
      <c r="D74" s="212">
        <v>5293192</v>
      </c>
      <c r="E74" s="212" t="s">
        <v>517</v>
      </c>
      <c r="F74" s="212">
        <v>1285847</v>
      </c>
      <c r="G74" s="212" t="s">
        <v>517</v>
      </c>
      <c r="H74" s="212">
        <v>1570072</v>
      </c>
      <c r="I74" s="212" t="s">
        <v>517</v>
      </c>
      <c r="J74" s="212">
        <v>2148263</v>
      </c>
      <c r="K74" s="212" t="s">
        <v>517</v>
      </c>
      <c r="O74" s="210" t="s">
        <v>534</v>
      </c>
      <c r="P74" s="213">
        <v>165141.95000000001</v>
      </c>
      <c r="Q74" s="212" t="s">
        <v>517</v>
      </c>
      <c r="R74" s="213">
        <v>56312.38</v>
      </c>
      <c r="S74" s="212" t="s">
        <v>517</v>
      </c>
      <c r="T74" s="213">
        <v>76316.429999999993</v>
      </c>
      <c r="U74" s="212" t="s">
        <v>517</v>
      </c>
      <c r="V74" s="213">
        <v>124379.06</v>
      </c>
      <c r="W74" s="212" t="s">
        <v>517</v>
      </c>
      <c r="AA74" s="210" t="s">
        <v>534</v>
      </c>
      <c r="AB74" s="212">
        <f t="shared" si="21"/>
        <v>31.198934404797715</v>
      </c>
      <c r="AC74" s="212" t="s">
        <v>517</v>
      </c>
      <c r="AD74" s="212">
        <f t="shared" si="22"/>
        <v>43.793997264060188</v>
      </c>
      <c r="AE74" s="212" t="s">
        <v>517</v>
      </c>
      <c r="AF74" s="212">
        <f t="shared" si="23"/>
        <v>48.606961973718398</v>
      </c>
      <c r="AG74" s="212" t="s">
        <v>517</v>
      </c>
      <c r="AH74" s="212">
        <f t="shared" si="24"/>
        <v>57.897501376693633</v>
      </c>
      <c r="AI74" s="212" t="s">
        <v>517</v>
      </c>
    </row>
    <row r="75" spans="3:35">
      <c r="C75" s="210" t="s">
        <v>535</v>
      </c>
      <c r="D75" s="211">
        <v>5541953</v>
      </c>
      <c r="E75" s="211" t="s">
        <v>517</v>
      </c>
      <c r="F75" s="211">
        <v>1420216</v>
      </c>
      <c r="G75" s="211" t="s">
        <v>517</v>
      </c>
      <c r="H75" s="211">
        <v>1625909</v>
      </c>
      <c r="I75" s="211" t="s">
        <v>517</v>
      </c>
      <c r="J75" s="211">
        <v>2492340</v>
      </c>
      <c r="K75" s="211" t="s">
        <v>517</v>
      </c>
      <c r="O75" s="210" t="s">
        <v>535</v>
      </c>
      <c r="P75" s="216">
        <v>273178.8</v>
      </c>
      <c r="Q75" s="211" t="s">
        <v>517</v>
      </c>
      <c r="R75" s="214">
        <v>84016.11</v>
      </c>
      <c r="S75" s="211" t="s">
        <v>517</v>
      </c>
      <c r="T75" s="214">
        <v>101188.08</v>
      </c>
      <c r="U75" s="211" t="s">
        <v>517</v>
      </c>
      <c r="V75" s="214">
        <v>174037.39</v>
      </c>
      <c r="W75" s="211" t="s">
        <v>517</v>
      </c>
      <c r="AA75" s="210" t="s">
        <v>535</v>
      </c>
      <c r="AB75" s="212">
        <f t="shared" si="21"/>
        <v>49.292875634275497</v>
      </c>
      <c r="AC75" s="211" t="s">
        <v>517</v>
      </c>
      <c r="AD75" s="212">
        <f t="shared" si="22"/>
        <v>59.157276076315149</v>
      </c>
      <c r="AE75" s="211" t="s">
        <v>517</v>
      </c>
      <c r="AF75" s="212">
        <f t="shared" si="23"/>
        <v>62.234774516901005</v>
      </c>
      <c r="AG75" s="211" t="s">
        <v>517</v>
      </c>
      <c r="AH75" s="212">
        <f t="shared" si="24"/>
        <v>69.828911785711426</v>
      </c>
      <c r="AI75" s="211" t="s">
        <v>517</v>
      </c>
    </row>
    <row r="76" spans="3:35">
      <c r="C76" s="210" t="s">
        <v>536</v>
      </c>
      <c r="D76" s="212">
        <v>414509</v>
      </c>
      <c r="E76" s="212" t="s">
        <v>517</v>
      </c>
      <c r="F76" s="212">
        <v>122682</v>
      </c>
      <c r="G76" s="212" t="s">
        <v>517</v>
      </c>
      <c r="H76" s="212">
        <v>136859</v>
      </c>
      <c r="I76" s="212" t="s">
        <v>517</v>
      </c>
      <c r="J76" s="212">
        <v>213456</v>
      </c>
      <c r="K76" s="212" t="s">
        <v>517</v>
      </c>
      <c r="O76" s="210" t="s">
        <v>536</v>
      </c>
      <c r="P76" s="213">
        <v>8049.52</v>
      </c>
      <c r="Q76" s="212" t="s">
        <v>517</v>
      </c>
      <c r="R76" s="213">
        <v>3187.85</v>
      </c>
      <c r="S76" s="212" t="s">
        <v>517</v>
      </c>
      <c r="T76" s="215">
        <v>4206.3</v>
      </c>
      <c r="U76" s="212" t="s">
        <v>517</v>
      </c>
      <c r="V76" s="213">
        <v>6641.16</v>
      </c>
      <c r="W76" s="212" t="s">
        <v>517</v>
      </c>
      <c r="AA76" s="210" t="s">
        <v>536</v>
      </c>
      <c r="AB76" s="212">
        <f t="shared" si="21"/>
        <v>19.419409469999447</v>
      </c>
      <c r="AC76" s="212" t="s">
        <v>517</v>
      </c>
      <c r="AD76" s="212">
        <f t="shared" si="22"/>
        <v>25.98465952625487</v>
      </c>
      <c r="AE76" s="212" t="s">
        <v>517</v>
      </c>
      <c r="AF76" s="212">
        <f t="shared" si="23"/>
        <v>30.734551618819371</v>
      </c>
      <c r="AG76" s="212" t="s">
        <v>517</v>
      </c>
      <c r="AH76" s="212">
        <f t="shared" si="24"/>
        <v>31.112547785023608</v>
      </c>
      <c r="AI76" s="212" t="s">
        <v>517</v>
      </c>
    </row>
    <row r="77" spans="3:35">
      <c r="C77" s="210" t="s">
        <v>537</v>
      </c>
      <c r="D77" s="211">
        <v>7613951</v>
      </c>
      <c r="E77" s="211" t="s">
        <v>517</v>
      </c>
      <c r="F77" s="211">
        <v>1851653</v>
      </c>
      <c r="G77" s="211" t="s">
        <v>517</v>
      </c>
      <c r="H77" s="211">
        <v>1733134</v>
      </c>
      <c r="I77" s="211" t="s">
        <v>517</v>
      </c>
      <c r="J77" s="211">
        <v>2462076</v>
      </c>
      <c r="K77" s="211" t="s">
        <v>517</v>
      </c>
      <c r="O77" s="210" t="s">
        <v>537</v>
      </c>
      <c r="P77" s="214">
        <v>279481.62</v>
      </c>
      <c r="Q77" s="211" t="s">
        <v>517</v>
      </c>
      <c r="R77" s="214">
        <v>97172.62</v>
      </c>
      <c r="S77" s="211" t="s">
        <v>517</v>
      </c>
      <c r="T77" s="214">
        <v>110636.98</v>
      </c>
      <c r="U77" s="211" t="s">
        <v>517</v>
      </c>
      <c r="V77" s="214">
        <v>189941.27</v>
      </c>
      <c r="W77" s="211" t="s">
        <v>517</v>
      </c>
      <c r="AA77" s="210" t="s">
        <v>537</v>
      </c>
      <c r="AB77" s="212">
        <f t="shared" si="21"/>
        <v>36.706516761140172</v>
      </c>
      <c r="AC77" s="211" t="s">
        <v>517</v>
      </c>
      <c r="AD77" s="212">
        <f t="shared" si="22"/>
        <v>52.478849978910731</v>
      </c>
      <c r="AE77" s="211" t="s">
        <v>517</v>
      </c>
      <c r="AF77" s="212">
        <f t="shared" si="23"/>
        <v>63.836368105409051</v>
      </c>
      <c r="AG77" s="211" t="s">
        <v>517</v>
      </c>
      <c r="AH77" s="212">
        <f t="shared" si="24"/>
        <v>77.14679400635886</v>
      </c>
      <c r="AI77" s="211" t="s">
        <v>517</v>
      </c>
    </row>
    <row r="78" spans="3:35">
      <c r="C78" s="210" t="s">
        <v>538</v>
      </c>
      <c r="D78" s="212">
        <v>150623</v>
      </c>
      <c r="E78" s="212" t="s">
        <v>517</v>
      </c>
      <c r="F78" s="212">
        <v>42158</v>
      </c>
      <c r="G78" s="212" t="s">
        <v>517</v>
      </c>
      <c r="H78" s="212">
        <v>46092</v>
      </c>
      <c r="I78" s="212" t="s">
        <v>517</v>
      </c>
      <c r="J78" s="212">
        <v>69386</v>
      </c>
      <c r="K78" s="212" t="s">
        <v>517</v>
      </c>
      <c r="O78" s="210" t="s">
        <v>538</v>
      </c>
      <c r="P78" s="213">
        <v>4431.74</v>
      </c>
      <c r="Q78" s="212" t="s">
        <v>517</v>
      </c>
      <c r="R78" s="213">
        <v>2113.7600000000002</v>
      </c>
      <c r="S78" s="212" t="s">
        <v>517</v>
      </c>
      <c r="T78" s="213">
        <v>2658.21</v>
      </c>
      <c r="U78" s="212" t="s">
        <v>517</v>
      </c>
      <c r="V78" s="213">
        <v>4402.93</v>
      </c>
      <c r="W78" s="212" t="s">
        <v>517</v>
      </c>
      <c r="AA78" s="210" t="s">
        <v>538</v>
      </c>
      <c r="AB78" s="212">
        <f t="shared" si="21"/>
        <v>29.422730924228038</v>
      </c>
      <c r="AC78" s="212" t="s">
        <v>517</v>
      </c>
      <c r="AD78" s="212">
        <f t="shared" si="22"/>
        <v>50.139000901371034</v>
      </c>
      <c r="AE78" s="212" t="s">
        <v>517</v>
      </c>
      <c r="AF78" s="212">
        <f t="shared" si="23"/>
        <v>57.671830252538399</v>
      </c>
      <c r="AG78" s="212" t="s">
        <v>517</v>
      </c>
      <c r="AH78" s="212">
        <f t="shared" si="24"/>
        <v>63.455596229786998</v>
      </c>
      <c r="AI78" s="212" t="s">
        <v>517</v>
      </c>
    </row>
    <row r="79" spans="3:35">
      <c r="C79" s="210" t="s">
        <v>539</v>
      </c>
      <c r="D79" s="211">
        <v>214060</v>
      </c>
      <c r="E79" s="211" t="s">
        <v>517</v>
      </c>
      <c r="F79" s="211">
        <v>71932</v>
      </c>
      <c r="G79" s="211" t="s">
        <v>517</v>
      </c>
      <c r="H79" s="211">
        <v>94165</v>
      </c>
      <c r="I79" s="211" t="s">
        <v>517</v>
      </c>
      <c r="J79" s="211">
        <v>146751</v>
      </c>
      <c r="K79" s="211" t="s">
        <v>517</v>
      </c>
      <c r="O79" s="210" t="s">
        <v>539</v>
      </c>
      <c r="P79" s="214">
        <v>4055.46</v>
      </c>
      <c r="Q79" s="211" t="s">
        <v>517</v>
      </c>
      <c r="R79" s="216">
        <v>1842.7</v>
      </c>
      <c r="S79" s="211" t="s">
        <v>517</v>
      </c>
      <c r="T79" s="214">
        <v>2721.52</v>
      </c>
      <c r="U79" s="211" t="s">
        <v>517</v>
      </c>
      <c r="V79" s="214">
        <v>4944.57</v>
      </c>
      <c r="W79" s="211" t="s">
        <v>517</v>
      </c>
      <c r="AA79" s="210" t="s">
        <v>539</v>
      </c>
      <c r="AB79" s="212">
        <f t="shared" si="21"/>
        <v>18.945435859104922</v>
      </c>
      <c r="AC79" s="211" t="s">
        <v>517</v>
      </c>
      <c r="AD79" s="212">
        <f t="shared" si="22"/>
        <v>25.617249624645499</v>
      </c>
      <c r="AE79" s="211" t="s">
        <v>517</v>
      </c>
      <c r="AF79" s="212">
        <f t="shared" si="23"/>
        <v>28.90160887803324</v>
      </c>
      <c r="AG79" s="211" t="s">
        <v>517</v>
      </c>
      <c r="AH79" s="212">
        <f t="shared" si="24"/>
        <v>33.69360345074309</v>
      </c>
      <c r="AI79" s="211" t="s">
        <v>517</v>
      </c>
    </row>
    <row r="80" spans="3:35">
      <c r="C80" s="210" t="s">
        <v>540</v>
      </c>
      <c r="D80" s="212">
        <v>415610</v>
      </c>
      <c r="E80" s="212" t="s">
        <v>517</v>
      </c>
      <c r="F80" s="212">
        <v>104849</v>
      </c>
      <c r="G80" s="212" t="s">
        <v>517</v>
      </c>
      <c r="H80" s="212">
        <v>147540</v>
      </c>
      <c r="I80" s="212" t="s">
        <v>517</v>
      </c>
      <c r="J80" s="212">
        <v>248503</v>
      </c>
      <c r="K80" s="212" t="s">
        <v>517</v>
      </c>
      <c r="O80" s="210" t="s">
        <v>540</v>
      </c>
      <c r="P80" s="213">
        <v>7039.08</v>
      </c>
      <c r="Q80" s="212" t="s">
        <v>517</v>
      </c>
      <c r="R80" s="213">
        <v>3166.75</v>
      </c>
      <c r="S80" s="212" t="s">
        <v>517</v>
      </c>
      <c r="T80" s="213">
        <v>4777.72</v>
      </c>
      <c r="U80" s="212" t="s">
        <v>517</v>
      </c>
      <c r="V80" s="213">
        <v>9628.49</v>
      </c>
      <c r="W80" s="212" t="s">
        <v>517</v>
      </c>
      <c r="AA80" s="210" t="s">
        <v>540</v>
      </c>
      <c r="AB80" s="212">
        <f t="shared" si="21"/>
        <v>16.936743581723249</v>
      </c>
      <c r="AC80" s="212" t="s">
        <v>517</v>
      </c>
      <c r="AD80" s="212">
        <f t="shared" si="22"/>
        <v>30.202958540377114</v>
      </c>
      <c r="AE80" s="212" t="s">
        <v>517</v>
      </c>
      <c r="AF80" s="212">
        <f t="shared" si="23"/>
        <v>32.38254032804663</v>
      </c>
      <c r="AG80" s="212" t="s">
        <v>517</v>
      </c>
      <c r="AH80" s="212">
        <f t="shared" si="24"/>
        <v>38.745970873591062</v>
      </c>
      <c r="AI80" s="212" t="s">
        <v>517</v>
      </c>
    </row>
    <row r="81" spans="3:35">
      <c r="C81" s="210" t="s">
        <v>541</v>
      </c>
      <c r="D81" s="211">
        <v>64966</v>
      </c>
      <c r="E81" s="211" t="s">
        <v>517</v>
      </c>
      <c r="F81" s="211">
        <v>36244</v>
      </c>
      <c r="G81" s="211" t="s">
        <v>517</v>
      </c>
      <c r="H81" s="211">
        <v>51370</v>
      </c>
      <c r="I81" s="211" t="s">
        <v>517</v>
      </c>
      <c r="J81" s="211">
        <v>93623</v>
      </c>
      <c r="K81" s="211" t="s">
        <v>517</v>
      </c>
      <c r="O81" s="210" t="s">
        <v>541</v>
      </c>
      <c r="P81" s="214">
        <v>7899.57</v>
      </c>
      <c r="Q81" s="211" t="s">
        <v>517</v>
      </c>
      <c r="R81" s="214">
        <v>3732.56</v>
      </c>
      <c r="S81" s="211" t="s">
        <v>517</v>
      </c>
      <c r="T81" s="214">
        <v>6205.39</v>
      </c>
      <c r="U81" s="211" t="s">
        <v>517</v>
      </c>
      <c r="V81" s="214">
        <v>13374.59</v>
      </c>
      <c r="W81" s="211" t="s">
        <v>517</v>
      </c>
      <c r="AA81" s="210" t="s">
        <v>541</v>
      </c>
      <c r="AB81" s="212">
        <f t="shared" si="21"/>
        <v>121.59544992765446</v>
      </c>
      <c r="AC81" s="211" t="s">
        <v>517</v>
      </c>
      <c r="AD81" s="212">
        <f t="shared" si="22"/>
        <v>102.98421807747489</v>
      </c>
      <c r="AE81" s="211" t="s">
        <v>517</v>
      </c>
      <c r="AF81" s="212">
        <f t="shared" si="23"/>
        <v>120.7979365388359</v>
      </c>
      <c r="AG81" s="211" t="s">
        <v>517</v>
      </c>
      <c r="AH81" s="212">
        <f t="shared" si="24"/>
        <v>142.85581534452004</v>
      </c>
      <c r="AI81" s="211" t="s">
        <v>517</v>
      </c>
    </row>
    <row r="82" spans="3:35">
      <c r="C82" s="210" t="s">
        <v>542</v>
      </c>
      <c r="D82" s="212">
        <v>1385595</v>
      </c>
      <c r="E82" s="212" t="s">
        <v>517</v>
      </c>
      <c r="F82" s="212">
        <v>272785</v>
      </c>
      <c r="G82" s="212" t="s">
        <v>517</v>
      </c>
      <c r="H82" s="212">
        <v>317009</v>
      </c>
      <c r="I82" s="212" t="s">
        <v>517</v>
      </c>
      <c r="J82" s="212">
        <v>467245</v>
      </c>
      <c r="K82" s="212" t="s">
        <v>517</v>
      </c>
      <c r="O82" s="210" t="s">
        <v>542</v>
      </c>
      <c r="P82" s="215">
        <v>19736.900000000001</v>
      </c>
      <c r="Q82" s="212" t="s">
        <v>517</v>
      </c>
      <c r="R82" s="213">
        <v>7156.84</v>
      </c>
      <c r="S82" s="212" t="s">
        <v>517</v>
      </c>
      <c r="T82" s="213">
        <v>9235.26</v>
      </c>
      <c r="U82" s="212" t="s">
        <v>517</v>
      </c>
      <c r="V82" s="213">
        <v>16270.16</v>
      </c>
      <c r="W82" s="212" t="s">
        <v>517</v>
      </c>
      <c r="AA82" s="210" t="s">
        <v>542</v>
      </c>
      <c r="AB82" s="212">
        <f t="shared" si="21"/>
        <v>14.244349900223371</v>
      </c>
      <c r="AC82" s="212" t="s">
        <v>517</v>
      </c>
      <c r="AD82" s="212">
        <f t="shared" si="22"/>
        <v>26.236193339076564</v>
      </c>
      <c r="AE82" s="212" t="s">
        <v>517</v>
      </c>
      <c r="AF82" s="212">
        <f t="shared" si="23"/>
        <v>29.132485197581143</v>
      </c>
      <c r="AG82" s="212" t="s">
        <v>517</v>
      </c>
      <c r="AH82" s="212">
        <f t="shared" si="24"/>
        <v>34.821474815139808</v>
      </c>
      <c r="AI82" s="212" t="s">
        <v>517</v>
      </c>
    </row>
    <row r="83" spans="3:35">
      <c r="C83" s="210" t="s">
        <v>543</v>
      </c>
      <c r="D83" s="211">
        <v>76864</v>
      </c>
      <c r="E83" s="211" t="s">
        <v>517</v>
      </c>
      <c r="F83" s="211">
        <v>21197</v>
      </c>
      <c r="G83" s="211" t="s">
        <v>517</v>
      </c>
      <c r="H83" s="211">
        <v>29039</v>
      </c>
      <c r="I83" s="211" t="s">
        <v>517</v>
      </c>
      <c r="J83" s="211">
        <v>49386</v>
      </c>
      <c r="K83" s="211" t="s">
        <v>517</v>
      </c>
      <c r="O83" s="210" t="s">
        <v>543</v>
      </c>
      <c r="P83" s="214">
        <v>3116.19</v>
      </c>
      <c r="Q83" s="211" t="s">
        <v>517</v>
      </c>
      <c r="R83" s="214">
        <v>1341.31</v>
      </c>
      <c r="S83" s="211" t="s">
        <v>517</v>
      </c>
      <c r="T83" s="214">
        <v>1623.68</v>
      </c>
      <c r="U83" s="211" t="s">
        <v>517</v>
      </c>
      <c r="V83" s="214">
        <v>2418.29</v>
      </c>
      <c r="W83" s="211" t="s">
        <v>517</v>
      </c>
      <c r="AA83" s="210" t="s">
        <v>543</v>
      </c>
      <c r="AB83" s="212">
        <f t="shared" si="21"/>
        <v>40.541605953372191</v>
      </c>
      <c r="AC83" s="211" t="s">
        <v>517</v>
      </c>
      <c r="AD83" s="212">
        <f t="shared" si="22"/>
        <v>63.278294098221444</v>
      </c>
      <c r="AE83" s="211" t="s">
        <v>517</v>
      </c>
      <c r="AF83" s="212">
        <f t="shared" si="23"/>
        <v>55.913771135369672</v>
      </c>
      <c r="AG83" s="211" t="s">
        <v>517</v>
      </c>
      <c r="AH83" s="212">
        <f t="shared" si="24"/>
        <v>48.96711618677358</v>
      </c>
      <c r="AI83" s="211" t="s">
        <v>517</v>
      </c>
    </row>
    <row r="84" spans="3:35">
      <c r="C84" s="210" t="s">
        <v>544</v>
      </c>
      <c r="D84" s="212">
        <v>2436762</v>
      </c>
      <c r="E84" s="212" t="s">
        <v>517</v>
      </c>
      <c r="F84" s="212">
        <v>595025</v>
      </c>
      <c r="G84" s="212" t="s">
        <v>517</v>
      </c>
      <c r="H84" s="212">
        <v>782923</v>
      </c>
      <c r="I84" s="212" t="s">
        <v>517</v>
      </c>
      <c r="J84" s="212">
        <v>1327855</v>
      </c>
      <c r="K84" s="212" t="s">
        <v>517</v>
      </c>
      <c r="O84" s="210" t="s">
        <v>544</v>
      </c>
      <c r="P84" s="213">
        <v>149256.14000000001</v>
      </c>
      <c r="Q84" s="212" t="s">
        <v>517</v>
      </c>
      <c r="R84" s="213">
        <v>38650.019999999997</v>
      </c>
      <c r="S84" s="212" t="s">
        <v>517</v>
      </c>
      <c r="T84" s="213">
        <v>60774.12</v>
      </c>
      <c r="U84" s="212" t="s">
        <v>517</v>
      </c>
      <c r="V84" s="213">
        <v>142666.79</v>
      </c>
      <c r="W84" s="212" t="s">
        <v>517</v>
      </c>
      <c r="AA84" s="210" t="s">
        <v>544</v>
      </c>
      <c r="AB84" s="212">
        <f t="shared" si="21"/>
        <v>61.251833375602544</v>
      </c>
      <c r="AC84" s="212" t="s">
        <v>517</v>
      </c>
      <c r="AD84" s="212">
        <f t="shared" si="22"/>
        <v>64.955287592958285</v>
      </c>
      <c r="AE84" s="212" t="s">
        <v>517</v>
      </c>
      <c r="AF84" s="212">
        <f t="shared" si="23"/>
        <v>77.624645080039798</v>
      </c>
      <c r="AG84" s="212" t="s">
        <v>517</v>
      </c>
      <c r="AH84" s="212">
        <f t="shared" si="24"/>
        <v>107.44154293955289</v>
      </c>
      <c r="AI84" s="212" t="s">
        <v>517</v>
      </c>
    </row>
    <row r="85" spans="3:35">
      <c r="C85" s="210" t="s">
        <v>545</v>
      </c>
      <c r="D85" s="211">
        <v>1048870</v>
      </c>
      <c r="E85" s="211" t="s">
        <v>517</v>
      </c>
      <c r="F85" s="211">
        <v>358176</v>
      </c>
      <c r="G85" s="211" t="s">
        <v>517</v>
      </c>
      <c r="H85" s="211">
        <v>418657</v>
      </c>
      <c r="I85" s="211" t="s">
        <v>517</v>
      </c>
      <c r="J85" s="211">
        <v>634196</v>
      </c>
      <c r="K85" s="211" t="s">
        <v>517</v>
      </c>
      <c r="O85" s="210" t="s">
        <v>545</v>
      </c>
      <c r="P85" s="216">
        <v>49043.4</v>
      </c>
      <c r="Q85" s="211" t="s">
        <v>517</v>
      </c>
      <c r="R85" s="214">
        <v>21958.52</v>
      </c>
      <c r="S85" s="211" t="s">
        <v>517</v>
      </c>
      <c r="T85" s="214">
        <v>30017.63</v>
      </c>
      <c r="U85" s="211" t="s">
        <v>517</v>
      </c>
      <c r="V85" s="216">
        <v>58733.8</v>
      </c>
      <c r="W85" s="211" t="s">
        <v>517</v>
      </c>
      <c r="AA85" s="210" t="s">
        <v>545</v>
      </c>
      <c r="AB85" s="212">
        <f t="shared" si="21"/>
        <v>46.758320859591748</v>
      </c>
      <c r="AC85" s="211" t="s">
        <v>517</v>
      </c>
      <c r="AD85" s="212">
        <f t="shared" si="22"/>
        <v>61.306508532118286</v>
      </c>
      <c r="AE85" s="211" t="s">
        <v>517</v>
      </c>
      <c r="AF85" s="212">
        <f t="shared" si="23"/>
        <v>71.699816317414971</v>
      </c>
      <c r="AG85" s="211" t="s">
        <v>517</v>
      </c>
      <c r="AH85" s="212">
        <f t="shared" si="24"/>
        <v>92.611432427829897</v>
      </c>
      <c r="AI85" s="211" t="s">
        <v>517</v>
      </c>
    </row>
    <row r="86" spans="3:35">
      <c r="C86" s="210" t="s">
        <v>546</v>
      </c>
      <c r="D86" s="212">
        <v>4281562</v>
      </c>
      <c r="E86" s="212" t="s">
        <v>517</v>
      </c>
      <c r="F86" s="212">
        <v>834754</v>
      </c>
      <c r="G86" s="212" t="s">
        <v>517</v>
      </c>
      <c r="H86" s="212">
        <v>1011746</v>
      </c>
      <c r="I86" s="212" t="s">
        <v>517</v>
      </c>
      <c r="J86" s="212">
        <v>1638632</v>
      </c>
      <c r="K86" s="212" t="s">
        <v>517</v>
      </c>
      <c r="O86" s="210" t="s">
        <v>546</v>
      </c>
      <c r="P86" s="213">
        <v>73136.84</v>
      </c>
      <c r="Q86" s="212" t="s">
        <v>517</v>
      </c>
      <c r="R86" s="213">
        <v>23796.71</v>
      </c>
      <c r="S86" s="212" t="s">
        <v>517</v>
      </c>
      <c r="T86" s="213">
        <v>33003.85</v>
      </c>
      <c r="U86" s="212" t="s">
        <v>517</v>
      </c>
      <c r="V86" s="213">
        <v>61421.71</v>
      </c>
      <c r="W86" s="212" t="s">
        <v>517</v>
      </c>
      <c r="AA86" s="210" t="s">
        <v>546</v>
      </c>
      <c r="AB86" s="212">
        <f t="shared" si="21"/>
        <v>17.081812665564577</v>
      </c>
      <c r="AC86" s="212" t="s">
        <v>517</v>
      </c>
      <c r="AD86" s="212">
        <f t="shared" si="22"/>
        <v>28.507452494986548</v>
      </c>
      <c r="AE86" s="212" t="s">
        <v>517</v>
      </c>
      <c r="AF86" s="212">
        <f t="shared" si="23"/>
        <v>32.620687405732269</v>
      </c>
      <c r="AG86" s="212" t="s">
        <v>517</v>
      </c>
      <c r="AH86" s="212">
        <f t="shared" si="24"/>
        <v>37.483528943655443</v>
      </c>
      <c r="AI86" s="212" t="s">
        <v>517</v>
      </c>
    </row>
    <row r="87" spans="3:35">
      <c r="C87" s="210" t="s">
        <v>547</v>
      </c>
      <c r="D87" s="211">
        <v>1860710</v>
      </c>
      <c r="E87" s="211" t="s">
        <v>517</v>
      </c>
      <c r="F87" s="211">
        <v>372928</v>
      </c>
      <c r="G87" s="211" t="s">
        <v>517</v>
      </c>
      <c r="H87" s="211">
        <v>466251</v>
      </c>
      <c r="I87" s="211" t="s">
        <v>517</v>
      </c>
      <c r="J87" s="211" t="s">
        <v>525</v>
      </c>
      <c r="K87" s="211" t="s">
        <v>548</v>
      </c>
      <c r="O87" s="210" t="s">
        <v>547</v>
      </c>
      <c r="P87" s="216">
        <v>36715.300000000003</v>
      </c>
      <c r="Q87" s="211" t="s">
        <v>517</v>
      </c>
      <c r="R87" s="214">
        <v>11569.62</v>
      </c>
      <c r="S87" s="211" t="s">
        <v>517</v>
      </c>
      <c r="T87" s="214">
        <v>16717.240000000002</v>
      </c>
      <c r="U87" s="211" t="s">
        <v>517</v>
      </c>
      <c r="V87" s="211" t="s">
        <v>525</v>
      </c>
      <c r="W87" s="211" t="s">
        <v>548</v>
      </c>
      <c r="AA87" s="210" t="s">
        <v>547</v>
      </c>
      <c r="AB87" s="212">
        <f t="shared" si="21"/>
        <v>19.731876541750193</v>
      </c>
      <c r="AC87" s="211" t="s">
        <v>517</v>
      </c>
      <c r="AD87" s="212">
        <f t="shared" si="22"/>
        <v>31.023736485326928</v>
      </c>
      <c r="AE87" s="211" t="s">
        <v>517</v>
      </c>
      <c r="AF87" s="212">
        <f t="shared" si="23"/>
        <v>35.854593341354771</v>
      </c>
      <c r="AG87" s="211" t="s">
        <v>517</v>
      </c>
      <c r="AH87" s="212" t="str">
        <f t="shared" si="24"/>
        <v/>
      </c>
      <c r="AI87" s="211" t="s">
        <v>517</v>
      </c>
    </row>
    <row r="88" spans="3:35">
      <c r="C88" s="210" t="s">
        <v>549</v>
      </c>
      <c r="D88" s="212">
        <v>1489989</v>
      </c>
      <c r="E88" s="212" t="s">
        <v>517</v>
      </c>
      <c r="F88" s="212">
        <v>369046</v>
      </c>
      <c r="G88" s="212" t="s">
        <v>517</v>
      </c>
      <c r="H88" s="212">
        <v>521559</v>
      </c>
      <c r="I88" s="212" t="s">
        <v>517</v>
      </c>
      <c r="J88" s="212">
        <v>775056</v>
      </c>
      <c r="K88" s="212" t="s">
        <v>517</v>
      </c>
      <c r="O88" s="210" t="s">
        <v>549</v>
      </c>
      <c r="P88" s="213">
        <v>29018.639999999999</v>
      </c>
      <c r="Q88" s="212" t="s">
        <v>517</v>
      </c>
      <c r="R88" s="215">
        <v>9768.7999999999993</v>
      </c>
      <c r="S88" s="212" t="s">
        <v>517</v>
      </c>
      <c r="T88" s="213">
        <v>13566.29</v>
      </c>
      <c r="U88" s="212" t="s">
        <v>517</v>
      </c>
      <c r="V88" s="213">
        <v>21411.81</v>
      </c>
      <c r="W88" s="212" t="s">
        <v>517</v>
      </c>
      <c r="AA88" s="210" t="s">
        <v>549</v>
      </c>
      <c r="AB88" s="212">
        <f t="shared" si="21"/>
        <v>19.475741096075204</v>
      </c>
      <c r="AC88" s="212" t="s">
        <v>517</v>
      </c>
      <c r="AD88" s="212">
        <f t="shared" si="22"/>
        <v>26.470412902456602</v>
      </c>
      <c r="AE88" s="212" t="s">
        <v>517</v>
      </c>
      <c r="AF88" s="212">
        <f t="shared" si="23"/>
        <v>26.011036143561899</v>
      </c>
      <c r="AG88" s="212" t="s">
        <v>517</v>
      </c>
      <c r="AH88" s="212">
        <f t="shared" si="24"/>
        <v>27.626145723663839</v>
      </c>
      <c r="AI88" s="212" t="s">
        <v>517</v>
      </c>
    </row>
    <row r="89" spans="3:35">
      <c r="C89" s="210" t="s">
        <v>550</v>
      </c>
      <c r="D89" s="211">
        <v>280808</v>
      </c>
      <c r="E89" s="211" t="s">
        <v>517</v>
      </c>
      <c r="F89" s="211">
        <v>67559</v>
      </c>
      <c r="G89" s="211" t="s">
        <v>517</v>
      </c>
      <c r="H89" s="211">
        <v>79055</v>
      </c>
      <c r="I89" s="211" t="s">
        <v>517</v>
      </c>
      <c r="J89" s="211">
        <v>147870</v>
      </c>
      <c r="K89" s="211" t="s">
        <v>517</v>
      </c>
      <c r="O89" s="210" t="s">
        <v>550</v>
      </c>
      <c r="P89" s="214">
        <v>9199.27</v>
      </c>
      <c r="Q89" s="211" t="s">
        <v>517</v>
      </c>
      <c r="R89" s="214">
        <v>3230.46</v>
      </c>
      <c r="S89" s="211" t="s">
        <v>517</v>
      </c>
      <c r="T89" s="214">
        <v>4015.92</v>
      </c>
      <c r="U89" s="211" t="s">
        <v>517</v>
      </c>
      <c r="V89" s="214">
        <v>7581.69</v>
      </c>
      <c r="W89" s="211" t="s">
        <v>517</v>
      </c>
      <c r="AA89" s="210" t="s">
        <v>550</v>
      </c>
      <c r="AB89" s="212">
        <f t="shared" si="21"/>
        <v>32.759999715107831</v>
      </c>
      <c r="AC89" s="211" t="s">
        <v>517</v>
      </c>
      <c r="AD89" s="212">
        <f t="shared" si="22"/>
        <v>47.816871179265533</v>
      </c>
      <c r="AE89" s="211" t="s">
        <v>517</v>
      </c>
      <c r="AF89" s="212">
        <f t="shared" si="23"/>
        <v>50.799063942824617</v>
      </c>
      <c r="AG89" s="211" t="s">
        <v>517</v>
      </c>
      <c r="AH89" s="212">
        <f t="shared" si="24"/>
        <v>51.272671941570295</v>
      </c>
      <c r="AI89" s="211" t="s">
        <v>517</v>
      </c>
    </row>
    <row r="90" spans="3:35">
      <c r="C90" s="210" t="s">
        <v>551</v>
      </c>
      <c r="D90" s="212">
        <v>813331</v>
      </c>
      <c r="E90" s="212" t="s">
        <v>517</v>
      </c>
      <c r="F90" s="212">
        <v>108121</v>
      </c>
      <c r="G90" s="212" t="s">
        <v>517</v>
      </c>
      <c r="H90" s="212">
        <v>141272</v>
      </c>
      <c r="I90" s="212" t="s">
        <v>517</v>
      </c>
      <c r="J90" s="212">
        <v>270021</v>
      </c>
      <c r="K90" s="212" t="s">
        <v>517</v>
      </c>
      <c r="O90" s="210" t="s">
        <v>551</v>
      </c>
      <c r="P90" s="213">
        <v>12607.62</v>
      </c>
      <c r="Q90" s="212" t="s">
        <v>517</v>
      </c>
      <c r="R90" s="213">
        <v>3474.27</v>
      </c>
      <c r="S90" s="212" t="s">
        <v>517</v>
      </c>
      <c r="T90" s="213">
        <v>4975.29</v>
      </c>
      <c r="U90" s="212" t="s">
        <v>517</v>
      </c>
      <c r="V90" s="213">
        <v>12178.33</v>
      </c>
      <c r="W90" s="212" t="s">
        <v>517</v>
      </c>
      <c r="AA90" s="210" t="s">
        <v>551</v>
      </c>
      <c r="AB90" s="212">
        <f t="shared" si="21"/>
        <v>15.501216601850908</v>
      </c>
      <c r="AC90" s="212" t="s">
        <v>517</v>
      </c>
      <c r="AD90" s="212">
        <f t="shared" si="22"/>
        <v>32.133165619999815</v>
      </c>
      <c r="AE90" s="212" t="s">
        <v>517</v>
      </c>
      <c r="AF90" s="212">
        <f t="shared" si="23"/>
        <v>35.21780678407611</v>
      </c>
      <c r="AG90" s="212" t="s">
        <v>517</v>
      </c>
      <c r="AH90" s="212">
        <f t="shared" si="24"/>
        <v>45.101418037856313</v>
      </c>
      <c r="AI90" s="212" t="s">
        <v>517</v>
      </c>
    </row>
    <row r="91" spans="3:35">
      <c r="C91" s="210" t="s">
        <v>552</v>
      </c>
      <c r="D91" s="211">
        <v>409250</v>
      </c>
      <c r="E91" s="211" t="s">
        <v>517</v>
      </c>
      <c r="F91" s="211">
        <v>155579</v>
      </c>
      <c r="G91" s="211" t="s">
        <v>517</v>
      </c>
      <c r="H91" s="211">
        <v>213687</v>
      </c>
      <c r="I91" s="211" t="s">
        <v>517</v>
      </c>
      <c r="J91" s="211">
        <v>347826</v>
      </c>
      <c r="K91" s="211" t="s">
        <v>517</v>
      </c>
      <c r="O91" s="210" t="s">
        <v>552</v>
      </c>
      <c r="P91" s="214">
        <v>24916.58</v>
      </c>
      <c r="Q91" s="211" t="s">
        <v>517</v>
      </c>
      <c r="R91" s="214">
        <v>9749.0300000000007</v>
      </c>
      <c r="S91" s="211" t="s">
        <v>517</v>
      </c>
      <c r="T91" s="214">
        <v>14589.34</v>
      </c>
      <c r="U91" s="211" t="s">
        <v>517</v>
      </c>
      <c r="V91" s="214">
        <v>26824.55</v>
      </c>
      <c r="W91" s="211" t="s">
        <v>517</v>
      </c>
      <c r="AA91" s="210" t="s">
        <v>552</v>
      </c>
      <c r="AB91" s="212">
        <f t="shared" si="21"/>
        <v>60.883518631643256</v>
      </c>
      <c r="AC91" s="211" t="s">
        <v>517</v>
      </c>
      <c r="AD91" s="212">
        <f t="shared" si="22"/>
        <v>62.66289152134928</v>
      </c>
      <c r="AE91" s="211" t="s">
        <v>517</v>
      </c>
      <c r="AF91" s="212">
        <f t="shared" si="23"/>
        <v>68.274345187119479</v>
      </c>
      <c r="AG91" s="211" t="s">
        <v>517</v>
      </c>
      <c r="AH91" s="212">
        <f t="shared" si="24"/>
        <v>77.120600530150128</v>
      </c>
      <c r="AI91" s="211" t="s">
        <v>517</v>
      </c>
    </row>
    <row r="92" spans="3:35">
      <c r="C92" s="210" t="s">
        <v>553</v>
      </c>
      <c r="D92" s="212">
        <v>623684</v>
      </c>
      <c r="E92" s="212" t="s">
        <v>517</v>
      </c>
      <c r="F92" s="212">
        <v>286581</v>
      </c>
      <c r="G92" s="212" t="s">
        <v>517</v>
      </c>
      <c r="H92" s="212">
        <v>378714</v>
      </c>
      <c r="I92" s="212" t="s">
        <v>517</v>
      </c>
      <c r="J92" s="212">
        <v>649730</v>
      </c>
      <c r="K92" s="212" t="s">
        <v>517</v>
      </c>
      <c r="O92" s="210" t="s">
        <v>553</v>
      </c>
      <c r="P92" s="213">
        <v>54539.95</v>
      </c>
      <c r="Q92" s="212" t="s">
        <v>517</v>
      </c>
      <c r="R92" s="213">
        <v>22629.13</v>
      </c>
      <c r="S92" s="212" t="s">
        <v>517</v>
      </c>
      <c r="T92" s="213">
        <v>32152.92</v>
      </c>
      <c r="U92" s="212" t="s">
        <v>517</v>
      </c>
      <c r="V92" s="213">
        <v>69204.34</v>
      </c>
      <c r="W92" s="212" t="s">
        <v>517</v>
      </c>
      <c r="AA92" s="210" t="s">
        <v>553</v>
      </c>
      <c r="AB92" s="212">
        <f t="shared" si="21"/>
        <v>87.448050615375735</v>
      </c>
      <c r="AC92" s="212" t="s">
        <v>517</v>
      </c>
      <c r="AD92" s="212">
        <f t="shared" si="22"/>
        <v>78.962422491372422</v>
      </c>
      <c r="AE92" s="212" t="s">
        <v>517</v>
      </c>
      <c r="AF92" s="212">
        <f t="shared" si="23"/>
        <v>84.900267748221609</v>
      </c>
      <c r="AG92" s="212" t="s">
        <v>517</v>
      </c>
      <c r="AH92" s="212">
        <f t="shared" si="24"/>
        <v>106.51245902143967</v>
      </c>
      <c r="AI92" s="212" t="s">
        <v>517</v>
      </c>
    </row>
    <row r="93" spans="3:35">
      <c r="C93" s="210" t="s">
        <v>554</v>
      </c>
      <c r="D93" s="211">
        <v>51960</v>
      </c>
      <c r="E93" s="211" t="s">
        <v>517</v>
      </c>
      <c r="F93" s="211">
        <v>15166</v>
      </c>
      <c r="G93" s="211" t="s">
        <v>517</v>
      </c>
      <c r="H93" s="211">
        <v>22140</v>
      </c>
      <c r="I93" s="211" t="s">
        <v>517</v>
      </c>
      <c r="J93" s="211">
        <v>30713</v>
      </c>
      <c r="K93" s="211" t="s">
        <v>517</v>
      </c>
      <c r="O93" s="210" t="s">
        <v>554</v>
      </c>
      <c r="P93" s="214">
        <v>3968.74</v>
      </c>
      <c r="Q93" s="211" t="s">
        <v>517</v>
      </c>
      <c r="R93" s="214">
        <v>1288.45</v>
      </c>
      <c r="S93" s="211" t="s">
        <v>517</v>
      </c>
      <c r="T93" s="214">
        <v>2312.27</v>
      </c>
      <c r="U93" s="211" t="s">
        <v>517</v>
      </c>
      <c r="V93" s="214">
        <v>3329.65</v>
      </c>
      <c r="W93" s="211" t="s">
        <v>517</v>
      </c>
      <c r="AA93" s="210" t="s">
        <v>554</v>
      </c>
      <c r="AB93" s="212">
        <f t="shared" si="21"/>
        <v>76.380677444187839</v>
      </c>
      <c r="AC93" s="211" t="s">
        <v>517</v>
      </c>
      <c r="AD93" s="212">
        <f t="shared" si="22"/>
        <v>84.956481603586965</v>
      </c>
      <c r="AE93" s="211" t="s">
        <v>517</v>
      </c>
      <c r="AF93" s="212">
        <f t="shared" si="23"/>
        <v>104.43857271906053</v>
      </c>
      <c r="AG93" s="211" t="s">
        <v>517</v>
      </c>
      <c r="AH93" s="212">
        <f t="shared" si="24"/>
        <v>108.41174746849869</v>
      </c>
      <c r="AI93" s="211" t="s">
        <v>517</v>
      </c>
    </row>
    <row r="94" spans="3:35">
      <c r="C94" s="210" t="s">
        <v>555</v>
      </c>
      <c r="D94" s="212">
        <v>471557</v>
      </c>
      <c r="E94" s="212" t="s">
        <v>517</v>
      </c>
      <c r="F94" s="212">
        <v>219731</v>
      </c>
      <c r="G94" s="212" t="s">
        <v>517</v>
      </c>
      <c r="H94" s="212">
        <v>271385</v>
      </c>
      <c r="I94" s="212" t="s">
        <v>517</v>
      </c>
      <c r="J94" s="212">
        <v>373743</v>
      </c>
      <c r="K94" s="212" t="s">
        <v>517</v>
      </c>
      <c r="O94" s="210" t="s">
        <v>555</v>
      </c>
      <c r="P94" s="213">
        <v>53621.75</v>
      </c>
      <c r="Q94" s="212" t="s">
        <v>517</v>
      </c>
      <c r="R94" s="213">
        <v>16726.57</v>
      </c>
      <c r="S94" s="212" t="s">
        <v>517</v>
      </c>
      <c r="T94" s="213">
        <v>25650.959999999999</v>
      </c>
      <c r="U94" s="212" t="s">
        <v>517</v>
      </c>
      <c r="V94" s="213">
        <v>43205.78</v>
      </c>
      <c r="W94" s="212" t="s">
        <v>517</v>
      </c>
      <c r="AA94" s="210" t="s">
        <v>555</v>
      </c>
      <c r="AB94" s="212">
        <f t="shared" si="21"/>
        <v>113.71212812024847</v>
      </c>
      <c r="AC94" s="212" t="s">
        <v>517</v>
      </c>
      <c r="AD94" s="212">
        <f t="shared" si="22"/>
        <v>76.122941232689058</v>
      </c>
      <c r="AE94" s="212" t="s">
        <v>517</v>
      </c>
      <c r="AF94" s="212">
        <f t="shared" si="23"/>
        <v>94.518709582327688</v>
      </c>
      <c r="AG94" s="212" t="s">
        <v>517</v>
      </c>
      <c r="AH94" s="212">
        <f t="shared" si="24"/>
        <v>115.60291430207388</v>
      </c>
      <c r="AI94" s="212" t="s">
        <v>517</v>
      </c>
    </row>
    <row r="95" spans="3:35">
      <c r="C95" s="210" t="s">
        <v>556</v>
      </c>
      <c r="D95" s="211">
        <v>520355</v>
      </c>
      <c r="E95" s="211" t="s">
        <v>557</v>
      </c>
      <c r="F95" s="211">
        <v>379455</v>
      </c>
      <c r="G95" s="211" t="s">
        <v>557</v>
      </c>
      <c r="H95" s="211">
        <v>465460</v>
      </c>
      <c r="I95" s="211" t="s">
        <v>557</v>
      </c>
      <c r="J95" s="211">
        <v>792735</v>
      </c>
      <c r="K95" s="211" t="s">
        <v>557</v>
      </c>
      <c r="O95" s="210" t="s">
        <v>556</v>
      </c>
      <c r="P95" s="214">
        <v>55031.32</v>
      </c>
      <c r="Q95" s="211" t="s">
        <v>557</v>
      </c>
      <c r="R95" s="214">
        <v>44588.85</v>
      </c>
      <c r="S95" s="211" t="s">
        <v>557</v>
      </c>
      <c r="T95" s="214">
        <v>58529.09</v>
      </c>
      <c r="U95" s="211" t="s">
        <v>557</v>
      </c>
      <c r="V95" s="214">
        <v>147144.88</v>
      </c>
      <c r="W95" s="211" t="s">
        <v>557</v>
      </c>
      <c r="AA95" s="210" t="s">
        <v>556</v>
      </c>
      <c r="AB95" s="212">
        <f t="shared" si="21"/>
        <v>105.75726186930076</v>
      </c>
      <c r="AC95" s="211" t="s">
        <v>517</v>
      </c>
      <c r="AD95" s="212">
        <f t="shared" si="22"/>
        <v>117.50760959797604</v>
      </c>
      <c r="AE95" s="211" t="s">
        <v>517</v>
      </c>
      <c r="AF95" s="212">
        <f t="shared" si="23"/>
        <v>125.74461822713015</v>
      </c>
      <c r="AG95" s="211" t="s">
        <v>517</v>
      </c>
      <c r="AH95" s="212">
        <f t="shared" si="24"/>
        <v>185.61673194699364</v>
      </c>
      <c r="AI95" s="211" t="s">
        <v>517</v>
      </c>
    </row>
    <row r="96" spans="3:35">
      <c r="C96" s="210" t="s">
        <v>558</v>
      </c>
      <c r="D96" s="212">
        <v>154387</v>
      </c>
      <c r="E96" s="212" t="s">
        <v>517</v>
      </c>
      <c r="F96" s="212">
        <v>52682</v>
      </c>
      <c r="G96" s="212" t="s">
        <v>517</v>
      </c>
      <c r="H96" s="212">
        <v>75084</v>
      </c>
      <c r="I96" s="212" t="s">
        <v>517</v>
      </c>
      <c r="J96" s="212">
        <v>136664</v>
      </c>
      <c r="K96" s="212" t="s">
        <v>517</v>
      </c>
      <c r="O96" s="210" t="s">
        <v>558</v>
      </c>
      <c r="P96" s="213">
        <v>2659.45</v>
      </c>
      <c r="Q96" s="212" t="s">
        <v>517</v>
      </c>
      <c r="R96" s="213">
        <v>1087.8800000000001</v>
      </c>
      <c r="S96" s="212" t="s">
        <v>517</v>
      </c>
      <c r="T96" s="213">
        <v>1793.23</v>
      </c>
      <c r="U96" s="212" t="s">
        <v>517</v>
      </c>
      <c r="V96" s="213">
        <v>3168.82</v>
      </c>
      <c r="W96" s="212" t="s">
        <v>517</v>
      </c>
      <c r="AA96" s="210" t="s">
        <v>558</v>
      </c>
      <c r="AB96" s="212">
        <f t="shared" si="21"/>
        <v>17.225867462934055</v>
      </c>
      <c r="AC96" s="212" t="s">
        <v>517</v>
      </c>
      <c r="AD96" s="212">
        <f t="shared" si="22"/>
        <v>20.649937360009112</v>
      </c>
      <c r="AE96" s="212" t="s">
        <v>517</v>
      </c>
      <c r="AF96" s="212">
        <f t="shared" si="23"/>
        <v>23.882984390815619</v>
      </c>
      <c r="AG96" s="212" t="s">
        <v>517</v>
      </c>
      <c r="AH96" s="212">
        <f t="shared" si="24"/>
        <v>23.186940232980156</v>
      </c>
      <c r="AI96" s="212" t="s">
        <v>517</v>
      </c>
    </row>
    <row r="97" spans="1:35">
      <c r="C97" s="210" t="s">
        <v>559</v>
      </c>
      <c r="D97" s="211" t="s">
        <v>525</v>
      </c>
      <c r="E97" s="211" t="s">
        <v>517</v>
      </c>
      <c r="F97" s="211" t="s">
        <v>525</v>
      </c>
      <c r="G97" s="211" t="s">
        <v>517</v>
      </c>
      <c r="H97" s="211" t="s">
        <v>525</v>
      </c>
      <c r="I97" s="211" t="s">
        <v>517</v>
      </c>
      <c r="J97" s="211" t="s">
        <v>525</v>
      </c>
      <c r="K97" s="211" t="s">
        <v>517</v>
      </c>
      <c r="O97" s="210" t="s">
        <v>559</v>
      </c>
      <c r="P97" s="211" t="s">
        <v>525</v>
      </c>
      <c r="Q97" s="211" t="s">
        <v>517</v>
      </c>
      <c r="R97" s="211" t="s">
        <v>525</v>
      </c>
      <c r="S97" s="211" t="s">
        <v>517</v>
      </c>
      <c r="T97" s="211" t="s">
        <v>525</v>
      </c>
      <c r="U97" s="211" t="s">
        <v>517</v>
      </c>
      <c r="V97" s="211" t="s">
        <v>525</v>
      </c>
      <c r="W97" s="211" t="s">
        <v>517</v>
      </c>
      <c r="AA97" s="210" t="s">
        <v>559</v>
      </c>
      <c r="AB97" s="212" t="str">
        <f t="shared" si="21"/>
        <v/>
      </c>
      <c r="AC97" s="211" t="s">
        <v>517</v>
      </c>
      <c r="AD97" s="212" t="str">
        <f t="shared" si="22"/>
        <v/>
      </c>
      <c r="AE97" s="211" t="s">
        <v>517</v>
      </c>
      <c r="AF97" s="212" t="str">
        <f t="shared" si="23"/>
        <v/>
      </c>
      <c r="AG97" s="211" t="s">
        <v>517</v>
      </c>
      <c r="AH97" s="212" t="str">
        <f t="shared" si="24"/>
        <v/>
      </c>
      <c r="AI97" s="211" t="s">
        <v>517</v>
      </c>
    </row>
    <row r="98" spans="1:35">
      <c r="C98" s="210" t="s">
        <v>560</v>
      </c>
      <c r="D98" s="212">
        <v>146409</v>
      </c>
      <c r="E98" s="212" t="s">
        <v>517</v>
      </c>
      <c r="F98" s="212">
        <v>41190</v>
      </c>
      <c r="G98" s="212" t="s">
        <v>517</v>
      </c>
      <c r="H98" s="212">
        <v>53465</v>
      </c>
      <c r="I98" s="212" t="s">
        <v>517</v>
      </c>
      <c r="J98" s="212">
        <v>85617</v>
      </c>
      <c r="K98" s="212" t="s">
        <v>517</v>
      </c>
      <c r="O98" s="210" t="s">
        <v>560</v>
      </c>
      <c r="P98" s="215">
        <v>1546</v>
      </c>
      <c r="Q98" s="212" t="s">
        <v>517</v>
      </c>
      <c r="R98" s="213">
        <v>644.04</v>
      </c>
      <c r="S98" s="212" t="s">
        <v>517</v>
      </c>
      <c r="T98" s="213">
        <v>901.59</v>
      </c>
      <c r="U98" s="212" t="s">
        <v>517</v>
      </c>
      <c r="V98" s="213">
        <v>1445.57</v>
      </c>
      <c r="W98" s="212" t="s">
        <v>517</v>
      </c>
      <c r="AA98" s="210" t="s">
        <v>560</v>
      </c>
      <c r="AB98" s="212">
        <f t="shared" si="21"/>
        <v>10.55946014247758</v>
      </c>
      <c r="AC98" s="212" t="s">
        <v>517</v>
      </c>
      <c r="AD98" s="212">
        <f t="shared" si="22"/>
        <v>15.635833940276765</v>
      </c>
      <c r="AE98" s="212" t="s">
        <v>517</v>
      </c>
      <c r="AF98" s="212">
        <f t="shared" si="23"/>
        <v>16.863181520620969</v>
      </c>
      <c r="AG98" s="212" t="s">
        <v>517</v>
      </c>
      <c r="AH98" s="212">
        <f t="shared" si="24"/>
        <v>16.884146839996728</v>
      </c>
      <c r="AI98" s="212" t="s">
        <v>517</v>
      </c>
    </row>
    <row r="99" spans="1:35">
      <c r="C99" s="210" t="s">
        <v>561</v>
      </c>
      <c r="D99" s="211" t="s">
        <v>525</v>
      </c>
      <c r="E99" s="211" t="s">
        <v>517</v>
      </c>
      <c r="F99" s="211" t="s">
        <v>525</v>
      </c>
      <c r="G99" s="211" t="s">
        <v>517</v>
      </c>
      <c r="H99" s="211" t="s">
        <v>525</v>
      </c>
      <c r="I99" s="211" t="s">
        <v>517</v>
      </c>
      <c r="J99" s="211" t="s">
        <v>525</v>
      </c>
      <c r="K99" s="211" t="s">
        <v>517</v>
      </c>
      <c r="O99" s="210" t="s">
        <v>561</v>
      </c>
      <c r="P99" s="211" t="s">
        <v>525</v>
      </c>
      <c r="Q99" s="211" t="s">
        <v>517</v>
      </c>
      <c r="R99" s="211" t="s">
        <v>525</v>
      </c>
      <c r="S99" s="211" t="s">
        <v>517</v>
      </c>
      <c r="T99" s="211" t="s">
        <v>525</v>
      </c>
      <c r="U99" s="211" t="s">
        <v>517</v>
      </c>
      <c r="V99" s="211" t="s">
        <v>525</v>
      </c>
      <c r="W99" s="211" t="s">
        <v>517</v>
      </c>
      <c r="AA99" s="210" t="s">
        <v>561</v>
      </c>
      <c r="AB99" s="212" t="str">
        <f t="shared" si="21"/>
        <v/>
      </c>
      <c r="AC99" s="211" t="s">
        <v>517</v>
      </c>
      <c r="AD99" s="212" t="str">
        <f t="shared" si="22"/>
        <v/>
      </c>
      <c r="AE99" s="211" t="s">
        <v>517</v>
      </c>
      <c r="AF99" s="212" t="str">
        <f t="shared" si="23"/>
        <v/>
      </c>
      <c r="AG99" s="211" t="s">
        <v>517</v>
      </c>
      <c r="AH99" s="212" t="str">
        <f t="shared" si="24"/>
        <v/>
      </c>
      <c r="AI99" s="211" t="s">
        <v>517</v>
      </c>
    </row>
    <row r="100" spans="1:35">
      <c r="C100" s="210" t="s">
        <v>562</v>
      </c>
      <c r="D100" s="212">
        <v>498662</v>
      </c>
      <c r="E100" s="212" t="s">
        <v>517</v>
      </c>
      <c r="F100" s="212">
        <v>145546</v>
      </c>
      <c r="G100" s="212" t="s">
        <v>517</v>
      </c>
      <c r="H100" s="212">
        <v>170162</v>
      </c>
      <c r="I100" s="212" t="s">
        <v>517</v>
      </c>
      <c r="J100" s="212">
        <v>318109</v>
      </c>
      <c r="K100" s="212" t="s">
        <v>517</v>
      </c>
      <c r="O100" s="210" t="s">
        <v>562</v>
      </c>
      <c r="P100" s="213">
        <v>4964.67</v>
      </c>
      <c r="Q100" s="212" t="s">
        <v>517</v>
      </c>
      <c r="R100" s="213">
        <v>2709.41</v>
      </c>
      <c r="S100" s="212" t="s">
        <v>517</v>
      </c>
      <c r="T100" s="213">
        <v>3677.41</v>
      </c>
      <c r="U100" s="212" t="s">
        <v>517</v>
      </c>
      <c r="V100" s="213">
        <v>8124.65</v>
      </c>
      <c r="W100" s="212" t="s">
        <v>517</v>
      </c>
      <c r="AA100" s="210" t="s">
        <v>562</v>
      </c>
      <c r="AB100" s="212">
        <f t="shared" si="21"/>
        <v>9.955982208389651</v>
      </c>
      <c r="AC100" s="212" t="s">
        <v>517</v>
      </c>
      <c r="AD100" s="212">
        <f t="shared" si="22"/>
        <v>18.615489261127067</v>
      </c>
      <c r="AE100" s="212" t="s">
        <v>517</v>
      </c>
      <c r="AF100" s="212">
        <f t="shared" si="23"/>
        <v>21.611229299138465</v>
      </c>
      <c r="AG100" s="212" t="s">
        <v>517</v>
      </c>
      <c r="AH100" s="212">
        <f t="shared" si="24"/>
        <v>25.540459402280348</v>
      </c>
      <c r="AI100" s="212" t="s">
        <v>517</v>
      </c>
    </row>
    <row r="104" spans="1:35" ht="15" thickBot="1">
      <c r="A104" s="198" t="s">
        <v>563</v>
      </c>
      <c r="B104" s="199"/>
      <c r="C104" s="199"/>
      <c r="D104" s="199"/>
      <c r="E104" s="199"/>
      <c r="F104" s="199"/>
      <c r="G104" s="199"/>
      <c r="H104" s="199"/>
      <c r="I104" s="199"/>
      <c r="J104" s="199"/>
      <c r="K104" s="199"/>
      <c r="L104" s="199"/>
      <c r="M104" s="199"/>
      <c r="N104" s="199"/>
      <c r="O104" s="199"/>
      <c r="P104" s="199"/>
      <c r="Q104" s="199"/>
      <c r="R104" s="199"/>
      <c r="S104" s="199"/>
    </row>
    <row r="106" spans="1:35">
      <c r="E106" s="169">
        <v>2018</v>
      </c>
      <c r="F106" s="169">
        <v>2019</v>
      </c>
      <c r="G106" s="169">
        <v>2020</v>
      </c>
      <c r="H106" s="169">
        <v>2021</v>
      </c>
      <c r="I106" s="169">
        <v>2022</v>
      </c>
      <c r="J106" s="169">
        <v>2023</v>
      </c>
      <c r="K106" s="169">
        <v>2024</v>
      </c>
      <c r="L106" s="169">
        <v>2025</v>
      </c>
      <c r="M106" s="169">
        <v>2026</v>
      </c>
      <c r="N106" s="169">
        <v>2027</v>
      </c>
      <c r="O106" s="169">
        <v>2028</v>
      </c>
      <c r="P106" s="169">
        <v>2029</v>
      </c>
      <c r="Q106" s="169">
        <v>2030</v>
      </c>
    </row>
    <row r="107" spans="1:35" ht="62.4">
      <c r="B107" s="176" t="s">
        <v>7</v>
      </c>
      <c r="C107" s="171" t="str">
        <f>C5</f>
        <v>Միջին և բարձր տեխնոլոգիական արտադրանքի մասնաբաժին` վերամշակող արդյունաբերության արտահանման կազմում (%)</v>
      </c>
      <c r="D107" s="190" t="s">
        <v>453</v>
      </c>
      <c r="E107" s="178">
        <f>E113</f>
        <v>14.736839517860901</v>
      </c>
      <c r="F107" s="178">
        <f>F113</f>
        <v>15.250148574487099</v>
      </c>
      <c r="G107" s="178">
        <f>G113</f>
        <v>11.910507972181501</v>
      </c>
      <c r="H107" s="178">
        <f>H113</f>
        <v>16.169034532224899</v>
      </c>
      <c r="I107" s="179">
        <f>H107*((Q107/H107)^(1/9))^(I106-H106)</f>
        <v>16.971198930126302</v>
      </c>
      <c r="J107" s="179">
        <f>H107*((Q107/H107)^(1/9))^(J106-H106)</f>
        <v>17.813159626314913</v>
      </c>
      <c r="K107" s="179">
        <f>H107*((Q107/H107)^(1/9))^(K106-H106)</f>
        <v>18.6968909609154</v>
      </c>
      <c r="L107" s="179">
        <f>H107*((Q107/H107)^(1/9))^(L106-H106)</f>
        <v>19.624465223336568</v>
      </c>
      <c r="M107" s="179">
        <f>H107*((Q107/H107)^(1/9))^(M106-H106)</f>
        <v>20.598057511647962</v>
      </c>
      <c r="N107" s="179">
        <f>H107*((Q107/H107)^(1/9))^(N106-H106)</f>
        <v>21.61995083303578</v>
      </c>
      <c r="O107" s="179">
        <f>H107*((Q107/H107)^(1/9))^(O106-H106)</f>
        <v>22.692541457298226</v>
      </c>
      <c r="P107" s="179">
        <f>H107*((Q107/H107)^(1/9))^(P106-H106)</f>
        <v>23.818344535933957</v>
      </c>
      <c r="Q107" s="179">
        <v>25</v>
      </c>
    </row>
    <row r="109" spans="1:35">
      <c r="H109" s="217" t="s">
        <v>564</v>
      </c>
      <c r="I109" s="218">
        <f>I107-H107</f>
        <v>0.8021643979014037</v>
      </c>
      <c r="J109" s="218">
        <f>J107-I107</f>
        <v>0.84196069618861102</v>
      </c>
      <c r="K109" s="218">
        <f t="shared" ref="K109:Q109" si="25">K107-J107</f>
        <v>0.88373133460048692</v>
      </c>
      <c r="L109" s="218">
        <f t="shared" si="25"/>
        <v>0.92757426242116736</v>
      </c>
      <c r="M109" s="218">
        <f t="shared" si="25"/>
        <v>0.97359228831139433</v>
      </c>
      <c r="N109" s="218">
        <f t="shared" si="25"/>
        <v>1.0218933213878181</v>
      </c>
      <c r="O109" s="218">
        <f t="shared" si="25"/>
        <v>1.0725906242624461</v>
      </c>
      <c r="P109" s="218">
        <f t="shared" si="25"/>
        <v>1.1258030786357303</v>
      </c>
      <c r="Q109" s="218">
        <f t="shared" si="25"/>
        <v>1.1816554640660435</v>
      </c>
    </row>
    <row r="110" spans="1:35">
      <c r="H110" s="217"/>
      <c r="I110" s="219"/>
      <c r="J110" s="219"/>
      <c r="K110" s="219"/>
      <c r="L110" s="219"/>
      <c r="M110" s="219"/>
      <c r="N110" s="219"/>
      <c r="O110" s="219"/>
      <c r="P110" s="219"/>
      <c r="Q110" s="219"/>
    </row>
    <row r="112" spans="1:35">
      <c r="C112" s="169"/>
      <c r="D112" s="169"/>
      <c r="E112" s="169">
        <v>2018</v>
      </c>
      <c r="F112" s="169">
        <v>2019</v>
      </c>
      <c r="G112" s="169">
        <v>2020</v>
      </c>
      <c r="H112" s="169">
        <v>2021</v>
      </c>
      <c r="I112" s="169">
        <v>2022</v>
      </c>
      <c r="J112" s="169">
        <v>2023</v>
      </c>
    </row>
    <row r="113" spans="3:11" ht="28.8">
      <c r="C113" s="170" t="s">
        <v>565</v>
      </c>
      <c r="D113" s="190" t="s">
        <v>453</v>
      </c>
      <c r="E113" s="178">
        <v>14.736839517860901</v>
      </c>
      <c r="F113" s="178">
        <v>15.250148574487099</v>
      </c>
      <c r="G113" s="178">
        <v>11.910507972181501</v>
      </c>
      <c r="H113" s="178">
        <v>16.169034532224899</v>
      </c>
      <c r="I113" s="186" t="s">
        <v>54</v>
      </c>
      <c r="J113" s="186" t="s">
        <v>54</v>
      </c>
    </row>
    <row r="114" spans="3:11" ht="178.95" customHeight="1">
      <c r="C114" s="170" t="s">
        <v>566</v>
      </c>
      <c r="D114" s="190" t="s">
        <v>453</v>
      </c>
      <c r="E114" s="178">
        <v>12.428180126445602</v>
      </c>
      <c r="F114" s="178">
        <v>13.340234366017659</v>
      </c>
      <c r="G114" s="178">
        <v>9.7520831591287553</v>
      </c>
      <c r="H114" s="178">
        <v>12.713166712593772</v>
      </c>
      <c r="I114" s="178">
        <v>28.28312816288464</v>
      </c>
      <c r="J114" s="178">
        <v>28.272446093046899</v>
      </c>
    </row>
    <row r="117" spans="3:11">
      <c r="C117" t="s">
        <v>567</v>
      </c>
    </row>
    <row r="118" spans="3:11">
      <c r="C118" s="169"/>
      <c r="D118" s="169">
        <v>2014</v>
      </c>
      <c r="E118" s="169">
        <v>2015</v>
      </c>
      <c r="F118" s="169">
        <v>2016</v>
      </c>
      <c r="G118" s="169">
        <v>2017</v>
      </c>
      <c r="H118" s="169">
        <v>2018</v>
      </c>
      <c r="I118" s="169">
        <v>2019</v>
      </c>
      <c r="J118" s="169">
        <v>2020</v>
      </c>
      <c r="K118" s="169">
        <v>2021</v>
      </c>
    </row>
    <row r="119" spans="3:11">
      <c r="C119" s="169" t="s">
        <v>568</v>
      </c>
      <c r="D119" s="178">
        <v>42.871783515891501</v>
      </c>
      <c r="E119" s="178">
        <v>38.187719991694799</v>
      </c>
      <c r="F119" s="178">
        <v>27.077914227606598</v>
      </c>
      <c r="G119" s="178">
        <v>31.709355889015399</v>
      </c>
      <c r="H119" s="178">
        <v>30.967301252264701</v>
      </c>
      <c r="I119" s="178">
        <v>26.776234571726299</v>
      </c>
      <c r="J119" s="178">
        <v>21.019983029203402</v>
      </c>
      <c r="K119" s="178">
        <v>28.892001694591801</v>
      </c>
    </row>
    <row r="120" spans="3:11">
      <c r="C120" s="169" t="s">
        <v>569</v>
      </c>
      <c r="D120" s="186" t="s">
        <v>54</v>
      </c>
      <c r="E120" s="186" t="s">
        <v>54</v>
      </c>
      <c r="F120" s="186" t="s">
        <v>54</v>
      </c>
      <c r="G120" s="186" t="s">
        <v>54</v>
      </c>
      <c r="H120" s="186" t="s">
        <v>54</v>
      </c>
      <c r="I120" s="186" t="s">
        <v>54</v>
      </c>
      <c r="J120" s="186" t="s">
        <v>54</v>
      </c>
      <c r="K120" s="186" t="s">
        <v>54</v>
      </c>
    </row>
    <row r="121" spans="3:11">
      <c r="C121" s="169" t="s">
        <v>531</v>
      </c>
      <c r="D121" s="178">
        <v>49.822728104381497</v>
      </c>
      <c r="E121" s="178">
        <v>50.477423607467401</v>
      </c>
      <c r="F121" s="178">
        <v>53.218944812500801</v>
      </c>
      <c r="G121" s="178">
        <v>50.155829412301102</v>
      </c>
      <c r="H121" s="178">
        <v>52.560840204882396</v>
      </c>
      <c r="I121" s="178">
        <v>52.899475701206896</v>
      </c>
      <c r="J121" s="178">
        <v>50.670496871695605</v>
      </c>
      <c r="K121" s="178">
        <v>46.829704801399402</v>
      </c>
    </row>
    <row r="122" spans="3:11">
      <c r="C122" s="169" t="s">
        <v>539</v>
      </c>
      <c r="D122" s="178">
        <v>37.855751437768397</v>
      </c>
      <c r="E122" s="178">
        <v>41.576945354972501</v>
      </c>
      <c r="F122" s="178">
        <v>42.911912303028899</v>
      </c>
      <c r="G122" s="178">
        <v>42.715379477081399</v>
      </c>
      <c r="H122" s="178">
        <v>43.352169585289701</v>
      </c>
      <c r="I122" s="178">
        <v>42.1802411077363</v>
      </c>
      <c r="J122" s="178">
        <v>43.978966324180803</v>
      </c>
      <c r="K122" s="178">
        <v>40.948483480940602</v>
      </c>
    </row>
    <row r="123" spans="3:11">
      <c r="C123" s="169" t="s">
        <v>540</v>
      </c>
      <c r="D123" s="178">
        <v>40.628573172048796</v>
      </c>
      <c r="E123" s="178">
        <v>40.761720515317798</v>
      </c>
      <c r="F123" s="178">
        <v>41.4831420654914</v>
      </c>
      <c r="G123" s="178">
        <v>42.802571433569099</v>
      </c>
      <c r="H123" s="178">
        <v>42.486813326007599</v>
      </c>
      <c r="I123" s="178">
        <v>44.001036377651495</v>
      </c>
      <c r="J123" s="178">
        <v>47.384169512366597</v>
      </c>
      <c r="K123" s="178">
        <v>45.559646733814304</v>
      </c>
    </row>
    <row r="124" spans="3:11">
      <c r="C124" s="169" t="s">
        <v>570</v>
      </c>
      <c r="D124" s="178">
        <v>27.420468598423696</v>
      </c>
      <c r="E124" s="178">
        <v>30.778517757973201</v>
      </c>
      <c r="F124" s="178">
        <v>28.728695313332597</v>
      </c>
      <c r="G124" s="178">
        <v>31.864058899750802</v>
      </c>
      <c r="H124" s="178">
        <v>37.948288108935103</v>
      </c>
      <c r="I124" s="178">
        <v>42.618850937245597</v>
      </c>
      <c r="J124" s="178">
        <v>40.6799689353413</v>
      </c>
      <c r="K124" s="178">
        <v>36.065967352234203</v>
      </c>
    </row>
    <row r="125" spans="3:11">
      <c r="C125" s="169" t="s">
        <v>571</v>
      </c>
      <c r="D125" s="178">
        <v>69.202214761567205</v>
      </c>
      <c r="E125" s="178">
        <v>70.661107415563393</v>
      </c>
      <c r="F125" s="178">
        <v>71.689265891134099</v>
      </c>
      <c r="G125" s="178">
        <v>70.86466619910739</v>
      </c>
      <c r="H125" s="178">
        <v>71.298978464646595</v>
      </c>
      <c r="I125" s="178">
        <v>72.69920313569061</v>
      </c>
      <c r="J125" s="178">
        <v>74.421840080792904</v>
      </c>
      <c r="K125" s="178">
        <v>71.585367365948997</v>
      </c>
    </row>
    <row r="126" spans="3:11">
      <c r="C126" s="169" t="s">
        <v>550</v>
      </c>
      <c r="D126" s="178">
        <v>61.727899122014897</v>
      </c>
      <c r="E126" s="178">
        <v>62.835545183213405</v>
      </c>
      <c r="F126" s="178">
        <v>63.643938163496003</v>
      </c>
      <c r="G126" s="178">
        <v>64.096840378587302</v>
      </c>
      <c r="H126" s="178">
        <v>63.717423685186603</v>
      </c>
      <c r="I126" s="178">
        <v>65.869976507380699</v>
      </c>
      <c r="J126" s="178">
        <v>69.59820812594289</v>
      </c>
      <c r="K126" s="178">
        <v>68.388587997870104</v>
      </c>
    </row>
    <row r="127" spans="3:11">
      <c r="C127" s="169" t="s">
        <v>528</v>
      </c>
      <c r="D127" s="178">
        <v>68.2975854057525</v>
      </c>
      <c r="E127" s="178">
        <v>68.958505345275597</v>
      </c>
      <c r="F127" s="178">
        <v>69.107596939236203</v>
      </c>
      <c r="G127" s="178">
        <v>69.873953660245107</v>
      </c>
      <c r="H127" s="178">
        <v>70.954376338955598</v>
      </c>
      <c r="I127" s="178">
        <v>71.864498066514699</v>
      </c>
      <c r="J127" s="178">
        <v>71.84143548267879</v>
      </c>
      <c r="K127" s="178">
        <v>70.122556748211991</v>
      </c>
    </row>
    <row r="128" spans="3:11">
      <c r="C128" s="169" t="s">
        <v>560</v>
      </c>
      <c r="D128" s="178">
        <v>54.994868511191399</v>
      </c>
      <c r="E128" s="178">
        <v>58.632358954512199</v>
      </c>
      <c r="F128" s="178">
        <v>59.363381889460797</v>
      </c>
      <c r="G128" s="178">
        <v>59.475132851071798</v>
      </c>
      <c r="H128" s="178">
        <v>62.322797995402802</v>
      </c>
      <c r="I128" s="178">
        <v>64.983514071032602</v>
      </c>
      <c r="J128" s="178">
        <v>65.412544164614189</v>
      </c>
      <c r="K128" s="178">
        <v>66.071428454510297</v>
      </c>
    </row>
    <row r="129" spans="1:19">
      <c r="C129" s="169" t="s">
        <v>561</v>
      </c>
      <c r="D129" s="178">
        <v>3.8713264422082299</v>
      </c>
      <c r="E129" s="178">
        <v>9.0747789139560489</v>
      </c>
      <c r="F129" s="178">
        <v>10.1886855480472</v>
      </c>
      <c r="G129" s="178">
        <v>3.5565927139718601</v>
      </c>
      <c r="H129" s="178">
        <v>4.8049422271258102</v>
      </c>
      <c r="I129" s="178">
        <v>4.5323890737489299</v>
      </c>
      <c r="J129" s="178">
        <v>8.4138312122838208</v>
      </c>
      <c r="K129" s="178">
        <v>8.4138312122838208</v>
      </c>
    </row>
    <row r="133" spans="1:19" ht="15" thickBot="1">
      <c r="A133" s="198" t="s">
        <v>572</v>
      </c>
      <c r="B133" s="199"/>
      <c r="C133" s="199"/>
      <c r="D133" s="199"/>
      <c r="E133" s="199"/>
      <c r="F133" s="199"/>
      <c r="G133" s="199"/>
      <c r="H133" s="199"/>
      <c r="I133" s="199"/>
      <c r="J133" s="199"/>
      <c r="K133" s="199"/>
      <c r="L133" s="199"/>
      <c r="M133" s="199"/>
      <c r="N133" s="199"/>
      <c r="O133" s="199"/>
      <c r="P133" s="199"/>
      <c r="Q133" s="199"/>
      <c r="R133" s="199"/>
      <c r="S133" s="199"/>
    </row>
    <row r="135" spans="1:19">
      <c r="E135" s="169">
        <v>2018</v>
      </c>
      <c r="F135" s="169">
        <v>2019</v>
      </c>
      <c r="G135" s="169">
        <v>2020</v>
      </c>
      <c r="H135" s="169">
        <v>2021</v>
      </c>
      <c r="I135" s="169">
        <v>2022</v>
      </c>
      <c r="J135" s="169">
        <v>2023</v>
      </c>
      <c r="K135" s="169">
        <v>2024</v>
      </c>
      <c r="L135" s="169">
        <v>2025</v>
      </c>
      <c r="M135" s="169">
        <v>2026</v>
      </c>
      <c r="N135" s="169">
        <v>2027</v>
      </c>
      <c r="O135" s="169">
        <v>2028</v>
      </c>
      <c r="P135" s="169">
        <v>2029</v>
      </c>
      <c r="Q135" s="169">
        <v>2030</v>
      </c>
    </row>
    <row r="136" spans="1:19" ht="46.8">
      <c r="B136" s="176" t="s">
        <v>8</v>
      </c>
      <c r="C136" s="171" t="str">
        <f>C6</f>
        <v>Ապրանքների և ծառայությունների արտահանման հարաբերություն ՀՆԱ-ին (%)</v>
      </c>
      <c r="D136" s="172" t="s">
        <v>453</v>
      </c>
      <c r="E136" s="178">
        <f t="shared" ref="E136:J136" si="26">E149</f>
        <v>39.392894028607309</v>
      </c>
      <c r="F136" s="178">
        <f t="shared" si="26"/>
        <v>41.35080136208493</v>
      </c>
      <c r="G136" s="178">
        <f t="shared" si="26"/>
        <v>29.764986915193393</v>
      </c>
      <c r="H136" s="178">
        <f t="shared" si="26"/>
        <v>35.906439990126685</v>
      </c>
      <c r="I136" s="178">
        <f t="shared" si="26"/>
        <v>50.013647695145139</v>
      </c>
      <c r="J136" s="178">
        <f t="shared" si="26"/>
        <v>58.181455474507217</v>
      </c>
      <c r="K136" s="193">
        <f>J138*((Q136/J138)^(1/7))^(K135-J135)</f>
        <v>38.271465692700389</v>
      </c>
      <c r="L136" s="193">
        <f>J138*((Q136/J138)^(1/7))^(L135-J135)</f>
        <v>40.015131314272303</v>
      </c>
      <c r="M136" s="193">
        <f>J138*((Q136/J138)^(1/7))^(M135-J135)</f>
        <v>41.838239145459717</v>
      </c>
      <c r="N136" s="193">
        <f>J138*((Q136/J138)^(1/7))^(N135-J135)</f>
        <v>43.744408609958612</v>
      </c>
      <c r="O136" s="193">
        <f>J138*((Q136/J138)^(1/7))^(O135-J135)</f>
        <v>45.73742403407725</v>
      </c>
      <c r="P136" s="193">
        <f>J138*((Q136/J138)^(1/7))^(P135-J135)</f>
        <v>47.821242159775231</v>
      </c>
      <c r="Q136" s="179">
        <v>50</v>
      </c>
    </row>
    <row r="138" spans="1:19">
      <c r="I138" s="220" t="s">
        <v>573</v>
      </c>
      <c r="J138" s="221">
        <f>AVERAGE(E136:H136)</f>
        <v>36.603780574003082</v>
      </c>
    </row>
    <row r="140" spans="1:19">
      <c r="J140" s="217" t="s">
        <v>564</v>
      </c>
      <c r="K140" s="218">
        <f>K136-J138</f>
        <v>1.6676851186973067</v>
      </c>
      <c r="L140" s="218">
        <f>L136-K136</f>
        <v>1.743665621571914</v>
      </c>
      <c r="M140" s="218">
        <f t="shared" ref="M140:Q140" si="27">M136-L136</f>
        <v>1.8231078311874143</v>
      </c>
      <c r="N140" s="218">
        <f t="shared" si="27"/>
        <v>1.9061694644988947</v>
      </c>
      <c r="O140" s="218">
        <f t="shared" si="27"/>
        <v>1.9930154241186386</v>
      </c>
      <c r="P140" s="218">
        <f t="shared" si="27"/>
        <v>2.0838181256979809</v>
      </c>
      <c r="Q140" s="218">
        <f t="shared" si="27"/>
        <v>2.1787578402247689</v>
      </c>
    </row>
    <row r="143" spans="1:19">
      <c r="C143" s="170"/>
      <c r="D143" s="169"/>
      <c r="E143" s="169">
        <v>2018</v>
      </c>
      <c r="F143" s="169">
        <v>2019</v>
      </c>
      <c r="G143" s="169">
        <v>2020</v>
      </c>
      <c r="H143" s="169">
        <v>2021</v>
      </c>
      <c r="I143" s="169">
        <v>2022</v>
      </c>
      <c r="J143" s="169">
        <v>2023</v>
      </c>
    </row>
    <row r="144" spans="1:19" ht="28.8">
      <c r="C144" s="170" t="s">
        <v>574</v>
      </c>
      <c r="D144" s="196" t="s">
        <v>575</v>
      </c>
      <c r="E144" s="222">
        <v>4.9270272953773953</v>
      </c>
      <c r="F144" s="222">
        <v>5.8197753454183152</v>
      </c>
      <c r="G144" s="222">
        <v>3.8571090474296668</v>
      </c>
      <c r="H144" s="222">
        <v>5.0399075243675693</v>
      </c>
      <c r="I144" s="222">
        <v>10.117833901328446</v>
      </c>
      <c r="J144" s="222">
        <v>14.338338871911851</v>
      </c>
    </row>
    <row r="145" spans="3:13">
      <c r="C145" s="169" t="s">
        <v>576</v>
      </c>
      <c r="D145" s="196"/>
      <c r="E145" s="223">
        <v>482.99</v>
      </c>
      <c r="F145" s="223">
        <v>480.45</v>
      </c>
      <c r="G145" s="223">
        <v>489.01</v>
      </c>
      <c r="H145" s="223">
        <v>503.77</v>
      </c>
      <c r="I145" s="223">
        <v>435.67</v>
      </c>
      <c r="J145" s="223">
        <v>392.48</v>
      </c>
    </row>
    <row r="146" spans="3:13" ht="28.8">
      <c r="C146" s="170" t="s">
        <v>574</v>
      </c>
      <c r="D146" s="196" t="s">
        <v>497</v>
      </c>
      <c r="E146" s="181">
        <f t="shared" ref="E146:J146" si="28">E144*E145</f>
        <v>2379.7049133943283</v>
      </c>
      <c r="F146" s="181">
        <f t="shared" si="28"/>
        <v>2796.1110647062296</v>
      </c>
      <c r="G146" s="181">
        <f t="shared" si="28"/>
        <v>1886.1648952835812</v>
      </c>
      <c r="H146" s="181">
        <f t="shared" si="28"/>
        <v>2538.9542135506504</v>
      </c>
      <c r="I146" s="181">
        <f t="shared" si="28"/>
        <v>4408.036695791764</v>
      </c>
      <c r="J146" s="181">
        <f t="shared" si="28"/>
        <v>5627.5112404479642</v>
      </c>
    </row>
    <row r="147" spans="3:13" ht="28.8">
      <c r="C147" s="169" t="s">
        <v>577</v>
      </c>
      <c r="D147" s="196" t="s">
        <v>497</v>
      </c>
      <c r="E147" s="222">
        <v>6017.0352000000012</v>
      </c>
      <c r="F147" s="222">
        <v>6543.3217999999997</v>
      </c>
      <c r="G147" s="222">
        <v>6181.9026000000003</v>
      </c>
      <c r="H147" s="222">
        <v>6991.7777999999989</v>
      </c>
      <c r="I147" s="222">
        <v>8501.4493999999977</v>
      </c>
      <c r="J147" s="222">
        <v>9453.1749999999975</v>
      </c>
    </row>
    <row r="148" spans="3:13">
      <c r="C148" s="170" t="s">
        <v>578</v>
      </c>
      <c r="D148" s="190" t="s">
        <v>453</v>
      </c>
      <c r="E148" s="184">
        <f t="shared" ref="E148:J148" si="29">E146/E147*100</f>
        <v>39.549459730505284</v>
      </c>
      <c r="F148" s="184">
        <f t="shared" si="29"/>
        <v>42.732287210851069</v>
      </c>
      <c r="G148" s="184">
        <f t="shared" si="29"/>
        <v>30.511074297475687</v>
      </c>
      <c r="H148" s="184">
        <f t="shared" si="29"/>
        <v>36.313428232096427</v>
      </c>
      <c r="I148" s="184">
        <f t="shared" si="29"/>
        <v>51.850413834042996</v>
      </c>
      <c r="J148" s="184">
        <f t="shared" si="29"/>
        <v>59.53038254816996</v>
      </c>
    </row>
    <row r="149" spans="3:13" ht="28.8">
      <c r="C149" s="170" t="s">
        <v>579</v>
      </c>
      <c r="D149" s="190" t="s">
        <v>453</v>
      </c>
      <c r="E149" s="184">
        <v>39.392894028607309</v>
      </c>
      <c r="F149" s="184">
        <v>41.35080136208493</v>
      </c>
      <c r="G149" s="184">
        <v>29.764986915193393</v>
      </c>
      <c r="H149" s="184">
        <v>35.906439990126685</v>
      </c>
      <c r="I149" s="184">
        <v>50.013647695145139</v>
      </c>
      <c r="J149" s="184">
        <v>58.181455474507217</v>
      </c>
    </row>
    <row r="150" spans="3:13">
      <c r="E150" s="204"/>
      <c r="F150" s="204"/>
      <c r="G150" s="204"/>
      <c r="H150" s="204"/>
      <c r="I150" s="204"/>
      <c r="J150" s="204"/>
    </row>
    <row r="151" spans="3:13">
      <c r="C151" t="s">
        <v>580</v>
      </c>
      <c r="E151" s="204"/>
      <c r="F151" s="204"/>
      <c r="G151" s="204"/>
      <c r="H151" s="204"/>
      <c r="I151" s="204"/>
      <c r="J151" s="204"/>
    </row>
    <row r="152" spans="3:13">
      <c r="C152" s="169"/>
      <c r="D152" s="169">
        <v>2014</v>
      </c>
      <c r="E152" s="169">
        <v>2015</v>
      </c>
      <c r="F152" s="169">
        <v>2016</v>
      </c>
      <c r="G152" s="169">
        <v>2017</v>
      </c>
      <c r="H152" s="169">
        <v>2018</v>
      </c>
      <c r="I152" s="169">
        <v>2019</v>
      </c>
      <c r="J152" s="169">
        <v>2020</v>
      </c>
      <c r="K152" s="169">
        <v>2021</v>
      </c>
      <c r="L152" s="169">
        <v>2022</v>
      </c>
      <c r="M152" s="169">
        <v>2023</v>
      </c>
    </row>
    <row r="153" spans="3:13">
      <c r="C153" s="169" t="s">
        <v>568</v>
      </c>
      <c r="D153" s="178">
        <v>39.181885757518444</v>
      </c>
      <c r="E153" s="178">
        <v>40.137249334259579</v>
      </c>
      <c r="F153" s="178">
        <v>39.999292534128529</v>
      </c>
      <c r="G153" s="178">
        <v>45.876552491533623</v>
      </c>
      <c r="H153" s="178">
        <v>49.695541058756113</v>
      </c>
      <c r="I153" s="178">
        <v>54.304308410087273</v>
      </c>
      <c r="J153" s="178">
        <v>36.900324167988913</v>
      </c>
      <c r="K153" s="178">
        <v>42.67436120808906</v>
      </c>
      <c r="L153" s="178">
        <v>52.478879220422726</v>
      </c>
      <c r="M153" s="178">
        <v>49.386409789896071</v>
      </c>
    </row>
    <row r="154" spans="3:13">
      <c r="C154" s="169" t="s">
        <v>569</v>
      </c>
      <c r="D154" s="178">
        <v>25.206882900573213</v>
      </c>
      <c r="E154" s="178">
        <v>23.581477886526777</v>
      </c>
      <c r="F154" s="178">
        <v>22.434959082442195</v>
      </c>
      <c r="G154" s="178">
        <v>22.835766235942931</v>
      </c>
      <c r="H154" s="178">
        <v>23.514633362898586</v>
      </c>
      <c r="I154" s="178">
        <v>22.707230492357695</v>
      </c>
      <c r="J154" s="178">
        <v>21.831586199679894</v>
      </c>
      <c r="K154" s="178">
        <v>24.046288759734161</v>
      </c>
      <c r="L154" s="178">
        <v>25.56276112977703</v>
      </c>
      <c r="M154" s="178">
        <v>23.9336016123174</v>
      </c>
    </row>
    <row r="155" spans="3:13">
      <c r="C155" s="169" t="s">
        <v>531</v>
      </c>
      <c r="D155" s="178">
        <v>81.865432881692385</v>
      </c>
      <c r="E155" s="178">
        <v>77.435498441644327</v>
      </c>
      <c r="F155" s="178">
        <v>77.007537735810004</v>
      </c>
      <c r="G155" s="178">
        <v>75.809854099340541</v>
      </c>
      <c r="H155" s="178">
        <v>74.323897847986217</v>
      </c>
      <c r="I155" s="178">
        <v>73.359554440573348</v>
      </c>
      <c r="J155" s="178">
        <v>69.211030863562698</v>
      </c>
      <c r="K155" s="178">
        <v>80.269095227605561</v>
      </c>
      <c r="L155" s="178">
        <v>85.781743809880609</v>
      </c>
      <c r="M155" s="178">
        <v>78.379331937245695</v>
      </c>
    </row>
    <row r="156" spans="3:13">
      <c r="C156" s="169" t="s">
        <v>539</v>
      </c>
      <c r="D156" s="178">
        <v>61.15472820774508</v>
      </c>
      <c r="E156" s="178">
        <v>60.275382765007798</v>
      </c>
      <c r="F156" s="178">
        <v>59.607082389551294</v>
      </c>
      <c r="G156" s="178">
        <v>61.589439363057963</v>
      </c>
      <c r="H156" s="178">
        <v>61.458941749678843</v>
      </c>
      <c r="I156" s="178">
        <v>60.021027140109098</v>
      </c>
      <c r="J156" s="178">
        <v>60.751291404675378</v>
      </c>
      <c r="K156" s="178">
        <v>64.591240882916438</v>
      </c>
      <c r="L156" s="178">
        <v>72.893525475713432</v>
      </c>
      <c r="M156" s="178">
        <v>64.059594654988018</v>
      </c>
    </row>
    <row r="157" spans="3:13">
      <c r="C157" s="169" t="s">
        <v>540</v>
      </c>
      <c r="D157" s="178">
        <v>72.270425190611675</v>
      </c>
      <c r="E157" s="178">
        <v>68.777640733880503</v>
      </c>
      <c r="F157" s="178">
        <v>67.587383056283414</v>
      </c>
      <c r="G157" s="178">
        <v>73.595163739151516</v>
      </c>
      <c r="H157" s="178">
        <v>75.205404890222894</v>
      </c>
      <c r="I157" s="178">
        <v>77.244115299363784</v>
      </c>
      <c r="J157" s="178">
        <v>73.09807765986892</v>
      </c>
      <c r="K157" s="178">
        <v>80.066015668690881</v>
      </c>
      <c r="L157" s="178">
        <v>86.799015198541412</v>
      </c>
      <c r="M157" s="178">
        <v>78.494442662389403</v>
      </c>
    </row>
    <row r="158" spans="3:13">
      <c r="C158" s="169" t="s">
        <v>570</v>
      </c>
      <c r="D158" s="178">
        <v>31.527963559563343</v>
      </c>
      <c r="E158" s="178">
        <v>31.806921788330715</v>
      </c>
      <c r="F158" s="178">
        <v>32.866498934974508</v>
      </c>
      <c r="G158" s="178">
        <v>32.532846597744587</v>
      </c>
      <c r="H158" s="178">
        <v>30.696369943019402</v>
      </c>
      <c r="I158" s="178">
        <v>31.191084957976873</v>
      </c>
      <c r="J158" s="178">
        <v>27.91433626375359</v>
      </c>
      <c r="K158" s="178">
        <v>30.648787712689828</v>
      </c>
      <c r="L158" s="178">
        <v>41.240493572351205</v>
      </c>
      <c r="M158" s="178">
        <v>35.53839314988651</v>
      </c>
    </row>
    <row r="159" spans="3:13">
      <c r="C159" s="169" t="s">
        <v>571</v>
      </c>
      <c r="D159" s="178">
        <v>91.400079974305129</v>
      </c>
      <c r="E159" s="178">
        <v>91.600474292704419</v>
      </c>
      <c r="F159" s="178">
        <v>93.466045495465906</v>
      </c>
      <c r="G159" s="178">
        <v>95.074327319502302</v>
      </c>
      <c r="H159" s="178">
        <v>95.835851144437285</v>
      </c>
      <c r="I159" s="178">
        <v>91.908685245263953</v>
      </c>
      <c r="J159" s="178">
        <v>85.050918362091465</v>
      </c>
      <c r="K159" s="178">
        <v>92.060642460681677</v>
      </c>
      <c r="L159" s="178">
        <v>99.297403588188402</v>
      </c>
      <c r="M159" s="178">
        <v>91.430889590942058</v>
      </c>
    </row>
    <row r="160" spans="3:13">
      <c r="C160" s="169" t="s">
        <v>550</v>
      </c>
      <c r="D160" s="178">
        <v>76.15174213985479</v>
      </c>
      <c r="E160" s="178">
        <v>77.148678258448371</v>
      </c>
      <c r="F160" s="178">
        <v>77.598166832277457</v>
      </c>
      <c r="G160" s="178">
        <v>83.125505578889332</v>
      </c>
      <c r="H160" s="178">
        <v>84.792676400803472</v>
      </c>
      <c r="I160" s="178">
        <v>83.614693307997911</v>
      </c>
      <c r="J160" s="178">
        <v>77.760732603616603</v>
      </c>
      <c r="K160" s="178">
        <v>83.562901372343077</v>
      </c>
      <c r="L160" s="178">
        <v>94.146070363317406</v>
      </c>
      <c r="M160" s="178">
        <v>83.999063997543303</v>
      </c>
    </row>
    <row r="161" spans="1:19">
      <c r="C161" s="169" t="s">
        <v>528</v>
      </c>
      <c r="D161" s="178">
        <v>81.954274574378829</v>
      </c>
      <c r="E161" s="178">
        <v>80.55877811499947</v>
      </c>
      <c r="F161" s="178">
        <v>79.107076630963547</v>
      </c>
      <c r="G161" s="178">
        <v>79.027139498112106</v>
      </c>
      <c r="H161" s="178">
        <v>76.943575959093366</v>
      </c>
      <c r="I161" s="178">
        <v>73.879780326264466</v>
      </c>
      <c r="J161" s="178">
        <v>69.948771538085225</v>
      </c>
      <c r="K161" s="178">
        <v>72.728234095637433</v>
      </c>
      <c r="L161" s="178">
        <v>76.452324252196419</v>
      </c>
      <c r="M161" s="178">
        <v>72.010700366986043</v>
      </c>
    </row>
    <row r="162" spans="1:19">
      <c r="C162" s="169" t="s">
        <v>560</v>
      </c>
      <c r="D162" s="178">
        <v>47.662855290913534</v>
      </c>
      <c r="E162" s="178">
        <v>48.737999906969087</v>
      </c>
      <c r="F162" s="178">
        <v>50.663842164106967</v>
      </c>
      <c r="G162" s="178">
        <v>55.145719342637022</v>
      </c>
      <c r="H162" s="178">
        <v>60.375137317326342</v>
      </c>
      <c r="I162" s="178">
        <v>62.408056787881328</v>
      </c>
      <c r="J162" s="178">
        <v>57.771485775759025</v>
      </c>
      <c r="K162" s="178">
        <v>65.443864856157759</v>
      </c>
      <c r="L162" s="178">
        <v>73.958370946072989</v>
      </c>
      <c r="M162" s="178">
        <v>72.793836863900182</v>
      </c>
    </row>
    <row r="163" spans="1:19">
      <c r="C163" s="169" t="s">
        <v>561</v>
      </c>
      <c r="D163" s="178">
        <v>28.21300145846249</v>
      </c>
      <c r="E163" s="178">
        <v>27.267391151266779</v>
      </c>
      <c r="F163" s="178">
        <v>28.97789917547211</v>
      </c>
      <c r="G163" s="178">
        <v>31.569798309887176</v>
      </c>
      <c r="H163" s="178">
        <v>31.5719544148007</v>
      </c>
      <c r="I163" s="178">
        <v>31.304269887472746</v>
      </c>
      <c r="J163" s="178">
        <v>22.657789614395881</v>
      </c>
      <c r="K163" s="178">
        <v>31.309160759155858</v>
      </c>
      <c r="L163" s="178">
        <v>37.39542220854598</v>
      </c>
      <c r="M163" s="178">
        <v>39.623396006653728</v>
      </c>
    </row>
    <row r="164" spans="1:19">
      <c r="D164" s="204"/>
      <c r="E164" s="204"/>
      <c r="F164" s="204"/>
      <c r="G164" s="204"/>
      <c r="H164" s="204"/>
      <c r="I164" s="204"/>
      <c r="J164" s="204"/>
      <c r="K164" s="204"/>
      <c r="L164" s="204"/>
      <c r="M164" s="204"/>
    </row>
    <row r="167" spans="1:19" ht="15" thickBot="1">
      <c r="A167" s="198" t="s">
        <v>581</v>
      </c>
      <c r="B167" s="199"/>
      <c r="C167" s="199"/>
      <c r="D167" s="199"/>
      <c r="E167" s="199"/>
      <c r="F167" s="199"/>
      <c r="G167" s="199"/>
      <c r="H167" s="199"/>
      <c r="I167" s="199"/>
      <c r="J167" s="199"/>
      <c r="K167" s="199"/>
      <c r="L167" s="199"/>
      <c r="M167" s="199"/>
      <c r="N167" s="199"/>
      <c r="O167" s="199"/>
      <c r="P167" s="199"/>
      <c r="Q167" s="199"/>
      <c r="R167" s="199"/>
      <c r="S167" s="199"/>
    </row>
    <row r="168" spans="1:19">
      <c r="E168" s="203"/>
      <c r="F168" s="203"/>
      <c r="G168" s="203"/>
      <c r="H168" s="203"/>
      <c r="I168" s="203"/>
      <c r="J168" s="203"/>
    </row>
    <row r="169" spans="1:19">
      <c r="E169" s="185">
        <v>2018</v>
      </c>
      <c r="F169" s="185">
        <v>2019</v>
      </c>
      <c r="G169" s="185">
        <v>2020</v>
      </c>
      <c r="H169" s="185">
        <v>2021</v>
      </c>
      <c r="I169" s="185">
        <v>2022</v>
      </c>
      <c r="J169" s="185">
        <v>2023</v>
      </c>
      <c r="K169" s="185">
        <v>2024</v>
      </c>
      <c r="L169" s="185">
        <v>2025</v>
      </c>
      <c r="M169" s="185">
        <v>2026</v>
      </c>
      <c r="N169" s="185">
        <v>2027</v>
      </c>
      <c r="O169" s="185">
        <v>2028</v>
      </c>
      <c r="P169" s="185">
        <v>2029</v>
      </c>
      <c r="Q169" s="185">
        <v>2030</v>
      </c>
    </row>
    <row r="170" spans="1:19" ht="93.6">
      <c r="B170" s="176" t="s">
        <v>9</v>
      </c>
      <c r="C170" s="171" t="str">
        <f>C7</f>
        <v>Ոչ ԱՊՀ երկրներ արտահանման մասնաբաժին՝ ապրանքների արտահանման կազմում (առանց թանկարժեք և կիսաթանկարժեք քարերի, թանկարժեք մետաղների և հանքաքարի, %)</v>
      </c>
      <c r="D170" s="172" t="s">
        <v>453</v>
      </c>
      <c r="E170" s="178">
        <f t="shared" ref="E170:J170" si="30">E184</f>
        <v>57.922164894535555</v>
      </c>
      <c r="F170" s="178">
        <f t="shared" si="30"/>
        <v>57.118985491483883</v>
      </c>
      <c r="G170" s="178">
        <f t="shared" si="30"/>
        <v>53.285132461737192</v>
      </c>
      <c r="H170" s="178">
        <f t="shared" si="30"/>
        <v>54.103043938006799</v>
      </c>
      <c r="I170" s="178">
        <f t="shared" si="30"/>
        <v>33.733797649747956</v>
      </c>
      <c r="J170" s="178">
        <f t="shared" si="30"/>
        <v>26.938923798439863</v>
      </c>
      <c r="K170" s="179">
        <f>J170*((Q170/J170)^(1/7))^(K169-J169)</f>
        <v>30.203815899397142</v>
      </c>
      <c r="L170" s="179">
        <f>J170*((Q170/J170)^(1/7))^(L169-J169)</f>
        <v>33.864400141237589</v>
      </c>
      <c r="M170" s="179">
        <f>J170*((Q170/J170)^(1/7))^(M169-J169)</f>
        <v>37.968632862337842</v>
      </c>
      <c r="N170" s="179">
        <f>J170*((Q170/J170)^(1/7))^(N169-J169)</f>
        <v>42.570282521541117</v>
      </c>
      <c r="O170" s="179">
        <f>J170*((Q170/J170)^(1/7))^(O169-J169)</f>
        <v>47.72963410440385</v>
      </c>
      <c r="P170" s="179">
        <f>J170*((Q170/J170)^(1/7))^(P169-J169)</f>
        <v>53.514278900721742</v>
      </c>
      <c r="Q170" s="179">
        <v>60</v>
      </c>
    </row>
    <row r="172" spans="1:19">
      <c r="J172" s="217" t="s">
        <v>564</v>
      </c>
      <c r="K172" s="218">
        <f>K170-J170</f>
        <v>3.2648921009572796</v>
      </c>
      <c r="L172" s="218">
        <f t="shared" ref="L172:Q172" si="31">L170-K170</f>
        <v>3.6605842418404464</v>
      </c>
      <c r="M172" s="218">
        <f t="shared" si="31"/>
        <v>4.1042327211002529</v>
      </c>
      <c r="N172" s="218">
        <f t="shared" si="31"/>
        <v>4.6016496592032752</v>
      </c>
      <c r="O172" s="218">
        <f t="shared" si="31"/>
        <v>5.1593515828627332</v>
      </c>
      <c r="P172" s="218">
        <f t="shared" si="31"/>
        <v>5.7846447963178917</v>
      </c>
      <c r="Q172" s="218">
        <f t="shared" si="31"/>
        <v>6.4857210992782584</v>
      </c>
    </row>
    <row r="173" spans="1:19">
      <c r="E173" s="203"/>
      <c r="F173" s="203"/>
      <c r="G173" s="203"/>
      <c r="H173" s="203"/>
      <c r="I173" s="203"/>
      <c r="J173" s="203"/>
    </row>
    <row r="174" spans="1:19">
      <c r="E174" s="203"/>
      <c r="F174" s="203"/>
      <c r="G174" s="203"/>
      <c r="H174" s="203"/>
      <c r="I174" s="203"/>
      <c r="J174" s="203"/>
    </row>
    <row r="175" spans="1:19">
      <c r="C175" s="170"/>
      <c r="D175" s="170"/>
      <c r="E175" s="170">
        <v>2018</v>
      </c>
      <c r="F175" s="170">
        <v>2019</v>
      </c>
      <c r="G175" s="170">
        <v>2020</v>
      </c>
      <c r="H175" s="170">
        <v>2021</v>
      </c>
      <c r="I175" s="170">
        <v>2022</v>
      </c>
      <c r="J175" s="170">
        <v>2023</v>
      </c>
    </row>
    <row r="176" spans="1:19">
      <c r="C176" s="224" t="s">
        <v>582</v>
      </c>
      <c r="D176" s="225" t="s">
        <v>583</v>
      </c>
      <c r="E176" s="224">
        <v>2383.4137997380003</v>
      </c>
      <c r="F176" s="224">
        <v>2618.6374455300002</v>
      </c>
      <c r="G176" s="224">
        <v>2332.0821531050001</v>
      </c>
      <c r="H176" s="224">
        <v>2964.7982900799998</v>
      </c>
      <c r="I176" s="224">
        <v>5364.1336017100002</v>
      </c>
      <c r="J176" s="226">
        <v>8371.1547411600004</v>
      </c>
      <c r="K176" s="203"/>
    </row>
    <row r="177" spans="1:19">
      <c r="C177" s="227" t="s">
        <v>584</v>
      </c>
      <c r="D177" s="228" t="s">
        <v>583</v>
      </c>
      <c r="E177" s="227">
        <v>864.45480998000005</v>
      </c>
      <c r="F177" s="227">
        <v>1079.8258653400003</v>
      </c>
      <c r="G177" s="227">
        <v>1025.87832701</v>
      </c>
      <c r="H177" s="227">
        <v>1249.48206441</v>
      </c>
      <c r="I177" s="227">
        <v>1911.68254262</v>
      </c>
      <c r="J177" s="229">
        <v>4014.4824152299998</v>
      </c>
      <c r="K177" s="203"/>
    </row>
    <row r="178" spans="1:19">
      <c r="C178" s="230" t="s">
        <v>585</v>
      </c>
      <c r="D178" s="231" t="s">
        <v>583</v>
      </c>
      <c r="E178" s="232">
        <v>691.27767253999991</v>
      </c>
      <c r="F178" s="232">
        <v>781.12714005999987</v>
      </c>
      <c r="G178" s="232">
        <v>668.27551232000008</v>
      </c>
      <c r="H178" s="232">
        <v>876.74091866000003</v>
      </c>
      <c r="I178" s="232">
        <v>2557.7441895699994</v>
      </c>
      <c r="J178" s="232">
        <v>3618.1222358099999</v>
      </c>
      <c r="K178" s="203"/>
    </row>
    <row r="179" spans="1:19">
      <c r="C179" s="233" t="s">
        <v>586</v>
      </c>
      <c r="D179" s="234" t="s">
        <v>583</v>
      </c>
      <c r="E179" s="235">
        <v>52.132613510000013</v>
      </c>
      <c r="F179" s="235">
        <v>121.26912310000002</v>
      </c>
      <c r="G179" s="235">
        <v>58.084125179999994</v>
      </c>
      <c r="H179" s="235">
        <v>89.462984239999997</v>
      </c>
      <c r="I179" s="235">
        <v>269.93598471000001</v>
      </c>
      <c r="J179" s="235">
        <v>435.09054791</v>
      </c>
      <c r="K179" s="203"/>
    </row>
    <row r="180" spans="1:19">
      <c r="C180" s="224" t="s">
        <v>587</v>
      </c>
      <c r="D180" s="225" t="s">
        <v>583</v>
      </c>
      <c r="E180" s="224">
        <f t="shared" ref="E180:J181" si="32">E176-E178</f>
        <v>1692.1361271980004</v>
      </c>
      <c r="F180" s="224">
        <f t="shared" si="32"/>
        <v>1837.5103054700003</v>
      </c>
      <c r="G180" s="224">
        <f t="shared" si="32"/>
        <v>1663.8066407850001</v>
      </c>
      <c r="H180" s="224">
        <f t="shared" si="32"/>
        <v>2088.05737142</v>
      </c>
      <c r="I180" s="224">
        <f t="shared" si="32"/>
        <v>2806.3894121400008</v>
      </c>
      <c r="J180" s="226">
        <f t="shared" si="32"/>
        <v>4753.0325053500001</v>
      </c>
    </row>
    <row r="181" spans="1:19">
      <c r="C181" s="227" t="s">
        <v>588</v>
      </c>
      <c r="D181" s="228" t="s">
        <v>583</v>
      </c>
      <c r="E181" s="227">
        <f t="shared" si="32"/>
        <v>812.32219646999999</v>
      </c>
      <c r="F181" s="227">
        <f t="shared" si="32"/>
        <v>958.55674224000029</v>
      </c>
      <c r="G181" s="227">
        <f t="shared" si="32"/>
        <v>967.79420183000002</v>
      </c>
      <c r="H181" s="227">
        <f t="shared" si="32"/>
        <v>1160.0190801700001</v>
      </c>
      <c r="I181" s="227">
        <f t="shared" si="32"/>
        <v>1641.7465579100001</v>
      </c>
      <c r="J181" s="229">
        <f t="shared" si="32"/>
        <v>3579.3918673199996</v>
      </c>
    </row>
    <row r="182" spans="1:19">
      <c r="C182" s="236" t="s">
        <v>589</v>
      </c>
      <c r="D182" s="231" t="s">
        <v>583</v>
      </c>
      <c r="E182" s="232">
        <f t="shared" ref="E182:J182" si="33">E176-E177</f>
        <v>1518.9589897580004</v>
      </c>
      <c r="F182" s="232">
        <f t="shared" si="33"/>
        <v>1538.8115801899999</v>
      </c>
      <c r="G182" s="232">
        <f t="shared" si="33"/>
        <v>1306.2038260950001</v>
      </c>
      <c r="H182" s="232">
        <f t="shared" si="33"/>
        <v>1715.3162256699998</v>
      </c>
      <c r="I182" s="232">
        <f t="shared" si="33"/>
        <v>3452.4510590899999</v>
      </c>
      <c r="J182" s="232">
        <f t="shared" si="33"/>
        <v>4356.6723259300006</v>
      </c>
    </row>
    <row r="183" spans="1:19">
      <c r="C183" s="237" t="s">
        <v>590</v>
      </c>
      <c r="D183" s="234" t="s">
        <v>583</v>
      </c>
      <c r="E183" s="235">
        <f t="shared" ref="E183:J183" si="34">E180-E181</f>
        <v>879.8139307280004</v>
      </c>
      <c r="F183" s="235">
        <f t="shared" si="34"/>
        <v>878.95356322999999</v>
      </c>
      <c r="G183" s="235">
        <f t="shared" si="34"/>
        <v>696.01243895500011</v>
      </c>
      <c r="H183" s="235">
        <f t="shared" si="34"/>
        <v>928.03829124999993</v>
      </c>
      <c r="I183" s="235">
        <f t="shared" si="34"/>
        <v>1164.6428542300007</v>
      </c>
      <c r="J183" s="235">
        <f t="shared" si="34"/>
        <v>1173.6406380300004</v>
      </c>
    </row>
    <row r="184" spans="1:19" ht="28.8">
      <c r="C184" s="238" t="s">
        <v>591</v>
      </c>
      <c r="D184" s="239" t="s">
        <v>453</v>
      </c>
      <c r="E184" s="240">
        <f t="shared" ref="E184:J184" si="35">E183/E182*100</f>
        <v>57.922164894535555</v>
      </c>
      <c r="F184" s="240">
        <f t="shared" si="35"/>
        <v>57.118985491483883</v>
      </c>
      <c r="G184" s="240">
        <f t="shared" si="35"/>
        <v>53.285132461737192</v>
      </c>
      <c r="H184" s="240">
        <f t="shared" si="35"/>
        <v>54.103043938006799</v>
      </c>
      <c r="I184" s="240">
        <f t="shared" si="35"/>
        <v>33.733797649747956</v>
      </c>
      <c r="J184" s="240">
        <f t="shared" si="35"/>
        <v>26.938923798439863</v>
      </c>
    </row>
    <row r="185" spans="1:19" ht="28.8">
      <c r="C185" s="238" t="s">
        <v>592</v>
      </c>
      <c r="D185" s="239" t="s">
        <v>453</v>
      </c>
      <c r="E185" s="240">
        <f t="shared" ref="E185:J185" si="36">E180/E176*100</f>
        <v>70.996321636805604</v>
      </c>
      <c r="F185" s="240">
        <f t="shared" si="36"/>
        <v>70.170473908353387</v>
      </c>
      <c r="G185" s="240">
        <f t="shared" si="36"/>
        <v>71.344255114244632</v>
      </c>
      <c r="H185" s="240">
        <f t="shared" si="36"/>
        <v>70.428311376409269</v>
      </c>
      <c r="I185" s="240">
        <f t="shared" si="36"/>
        <v>52.317664333441819</v>
      </c>
      <c r="J185" s="240">
        <f t="shared" si="36"/>
        <v>56.778696037953857</v>
      </c>
    </row>
    <row r="189" spans="1:19" ht="15" thickBot="1">
      <c r="A189" s="198" t="s">
        <v>593</v>
      </c>
      <c r="B189" s="199"/>
      <c r="C189" s="199"/>
      <c r="D189" s="199"/>
      <c r="E189" s="199"/>
      <c r="F189" s="199"/>
      <c r="G189" s="199"/>
      <c r="H189" s="199"/>
      <c r="I189" s="199"/>
      <c r="J189" s="199"/>
      <c r="K189" s="199"/>
      <c r="L189" s="199"/>
      <c r="M189" s="199"/>
      <c r="N189" s="199"/>
      <c r="O189" s="199"/>
      <c r="P189" s="199"/>
      <c r="Q189" s="199"/>
      <c r="R189" s="199"/>
      <c r="S189" s="199"/>
    </row>
    <row r="191" spans="1:19">
      <c r="E191" s="169">
        <v>2018</v>
      </c>
      <c r="F191" s="169">
        <v>2019</v>
      </c>
      <c r="G191" s="169">
        <v>2020</v>
      </c>
      <c r="H191" s="169">
        <v>2021</v>
      </c>
      <c r="I191" s="169">
        <v>2022</v>
      </c>
      <c r="J191" s="169">
        <v>2023</v>
      </c>
      <c r="K191" s="169">
        <v>2024</v>
      </c>
      <c r="L191" s="169">
        <v>2025</v>
      </c>
      <c r="M191" s="169">
        <v>2026</v>
      </c>
      <c r="N191" s="169">
        <v>2027</v>
      </c>
      <c r="O191" s="169">
        <v>2028</v>
      </c>
      <c r="P191" s="169">
        <v>2029</v>
      </c>
      <c r="Q191" s="169">
        <v>2030</v>
      </c>
    </row>
    <row r="192" spans="1:19" ht="31.2">
      <c r="B192" s="176" t="s">
        <v>10</v>
      </c>
      <c r="C192" s="171" t="str">
        <f>C8</f>
        <v>ՀՀ մարզերի մասնաբաժին՝ ՓՄՁ շրջանառության կազմում (%)</v>
      </c>
      <c r="D192" s="172" t="s">
        <v>453</v>
      </c>
      <c r="E192" s="178">
        <f t="shared" ref="E192:J192" si="37">E205/E199*100</f>
        <v>26.145640155870332</v>
      </c>
      <c r="F192" s="178">
        <f t="shared" si="37"/>
        <v>25.384287540651396</v>
      </c>
      <c r="G192" s="178">
        <f t="shared" si="37"/>
        <v>27.602224924830892</v>
      </c>
      <c r="H192" s="178">
        <f t="shared" si="37"/>
        <v>27.554189059949465</v>
      </c>
      <c r="I192" s="178">
        <f t="shared" si="37"/>
        <v>27.042894370368771</v>
      </c>
      <c r="J192" s="178">
        <f t="shared" si="37"/>
        <v>26.934244700828913</v>
      </c>
      <c r="K192" s="193">
        <f t="shared" ref="K192:P192" si="38">$J192*(($Q192/$J192)^(1/7))^(K191-$J191)</f>
        <v>27.961257130076547</v>
      </c>
      <c r="L192" s="193">
        <f t="shared" si="38"/>
        <v>29.027429912307703</v>
      </c>
      <c r="M192" s="193">
        <f t="shared" si="38"/>
        <v>30.134256245853898</v>
      </c>
      <c r="N192" s="193">
        <f t="shared" si="38"/>
        <v>31.283286265235606</v>
      </c>
      <c r="O192" s="193">
        <f t="shared" si="38"/>
        <v>32.476129212159599</v>
      </c>
      <c r="P192" s="193">
        <f t="shared" si="38"/>
        <v>33.714455689297218</v>
      </c>
      <c r="Q192" s="179">
        <v>35</v>
      </c>
    </row>
    <row r="194" spans="3:17">
      <c r="J194" s="217" t="s">
        <v>564</v>
      </c>
      <c r="K194" s="241">
        <f t="shared" ref="K194:Q194" si="39">K192-J192</f>
        <v>1.0270124292476339</v>
      </c>
      <c r="L194" s="241">
        <f t="shared" si="39"/>
        <v>1.0661727822311562</v>
      </c>
      <c r="M194" s="241">
        <f t="shared" si="39"/>
        <v>1.106826333546195</v>
      </c>
      <c r="N194" s="241">
        <f t="shared" si="39"/>
        <v>1.1490300193817085</v>
      </c>
      <c r="O194" s="241">
        <f t="shared" si="39"/>
        <v>1.1928429469239923</v>
      </c>
      <c r="P194" s="241">
        <f t="shared" si="39"/>
        <v>1.238326477137619</v>
      </c>
      <c r="Q194" s="241">
        <f t="shared" si="39"/>
        <v>1.2855443107027824</v>
      </c>
    </row>
    <row r="197" spans="3:17">
      <c r="C197" t="s">
        <v>594</v>
      </c>
    </row>
    <row r="198" spans="3:17">
      <c r="C198" s="169"/>
      <c r="D198" s="169"/>
      <c r="E198" s="169">
        <v>2018</v>
      </c>
      <c r="F198" s="169">
        <v>2019</v>
      </c>
      <c r="G198" s="169">
        <v>2020</v>
      </c>
      <c r="H198" s="169">
        <v>2021</v>
      </c>
      <c r="I198" s="169">
        <v>2022</v>
      </c>
      <c r="J198" s="169">
        <v>2023</v>
      </c>
    </row>
    <row r="199" spans="3:17">
      <c r="C199" s="242" t="s">
        <v>595</v>
      </c>
      <c r="D199" s="169" t="s">
        <v>596</v>
      </c>
      <c r="E199" s="184">
        <v>3924.8776999999995</v>
      </c>
      <c r="F199" s="184">
        <v>4428.9361999999992</v>
      </c>
      <c r="G199" s="184">
        <v>4355.5449000000008</v>
      </c>
      <c r="H199" s="184">
        <v>5550.5484000000006</v>
      </c>
      <c r="I199" s="184">
        <v>7545.533300000001</v>
      </c>
      <c r="J199" s="184">
        <v>9704.9470999999994</v>
      </c>
    </row>
    <row r="200" spans="3:17">
      <c r="C200" s="242" t="s">
        <v>597</v>
      </c>
      <c r="D200" s="169"/>
      <c r="E200" s="184"/>
      <c r="F200" s="184"/>
      <c r="G200" s="184"/>
      <c r="H200" s="184"/>
      <c r="I200" s="184"/>
      <c r="J200" s="184"/>
    </row>
    <row r="201" spans="3:17">
      <c r="C201" s="242" t="s">
        <v>598</v>
      </c>
      <c r="D201" s="169" t="s">
        <v>596</v>
      </c>
      <c r="E201" s="184">
        <v>913.43849999999998</v>
      </c>
      <c r="F201" s="184">
        <v>1102.5238999999999</v>
      </c>
      <c r="G201" s="184">
        <v>1060.3193999999999</v>
      </c>
      <c r="H201" s="184">
        <v>1383.8232</v>
      </c>
      <c r="I201" s="184">
        <v>2213.6512000000002</v>
      </c>
      <c r="J201" s="173">
        <v>2944.9259999999999</v>
      </c>
    </row>
    <row r="202" spans="3:17">
      <c r="C202" s="242" t="s">
        <v>599</v>
      </c>
      <c r="D202" s="169" t="s">
        <v>596</v>
      </c>
      <c r="E202" s="184">
        <v>922.93110000000001</v>
      </c>
      <c r="F202" s="184">
        <v>923.24890000000005</v>
      </c>
      <c r="G202" s="184">
        <v>820.18080000000009</v>
      </c>
      <c r="H202" s="184">
        <v>1188.9715000000001</v>
      </c>
      <c r="I202" s="184">
        <v>1419.1911</v>
      </c>
      <c r="J202" s="173">
        <v>1702.4396999999999</v>
      </c>
    </row>
    <row r="203" spans="3:17">
      <c r="C203" s="242" t="s">
        <v>600</v>
      </c>
      <c r="D203" s="169" t="s">
        <v>596</v>
      </c>
      <c r="E203" s="184">
        <v>1062.3236999999999</v>
      </c>
      <c r="F203" s="184">
        <v>1278.9095</v>
      </c>
      <c r="G203" s="184">
        <v>1272.8173999999999</v>
      </c>
      <c r="H203" s="184">
        <v>1448.3451</v>
      </c>
      <c r="I203" s="184">
        <v>1872.1604</v>
      </c>
      <c r="J203" s="173">
        <v>2443.6271999999999</v>
      </c>
    </row>
    <row r="204" spans="3:17">
      <c r="C204" s="242" t="s">
        <v>601</v>
      </c>
      <c r="D204" s="169" t="s">
        <v>596</v>
      </c>
      <c r="E204" s="184">
        <f t="shared" ref="E204:J204" si="40">SUM(E201:E203)</f>
        <v>2898.6932999999999</v>
      </c>
      <c r="F204" s="184">
        <f t="shared" si="40"/>
        <v>3304.6822999999999</v>
      </c>
      <c r="G204" s="184">
        <f t="shared" si="40"/>
        <v>3153.3175999999999</v>
      </c>
      <c r="H204" s="184">
        <f t="shared" si="40"/>
        <v>4021.1398000000004</v>
      </c>
      <c r="I204" s="184">
        <f t="shared" si="40"/>
        <v>5505.0027</v>
      </c>
      <c r="J204" s="184">
        <f t="shared" si="40"/>
        <v>7090.9929000000002</v>
      </c>
    </row>
    <row r="205" spans="3:17">
      <c r="C205" s="242" t="s">
        <v>602</v>
      </c>
      <c r="D205" s="169" t="s">
        <v>596</v>
      </c>
      <c r="E205" s="184">
        <f t="shared" ref="E205:J205" si="41">E199-E204</f>
        <v>1026.1843999999996</v>
      </c>
      <c r="F205" s="184">
        <f t="shared" si="41"/>
        <v>1124.2538999999992</v>
      </c>
      <c r="G205" s="184">
        <f t="shared" si="41"/>
        <v>1202.2273000000009</v>
      </c>
      <c r="H205" s="184">
        <f t="shared" si="41"/>
        <v>1529.4086000000002</v>
      </c>
      <c r="I205" s="184">
        <f t="shared" si="41"/>
        <v>2040.530600000001</v>
      </c>
      <c r="J205" s="184">
        <f t="shared" si="41"/>
        <v>2613.9541999999992</v>
      </c>
    </row>
    <row r="206" spans="3:17">
      <c r="E206" s="243"/>
      <c r="F206" s="243"/>
      <c r="G206" s="243"/>
      <c r="H206" s="243"/>
      <c r="I206" s="243"/>
    </row>
    <row r="207" spans="3:17">
      <c r="E207" s="243"/>
      <c r="F207" s="243"/>
      <c r="G207" s="243"/>
      <c r="H207" s="243"/>
      <c r="I207" s="243"/>
    </row>
    <row r="209" spans="1:19" ht="15" thickBot="1">
      <c r="A209" s="198" t="s">
        <v>603</v>
      </c>
      <c r="B209" s="199"/>
      <c r="C209" s="199"/>
      <c r="D209" s="199"/>
      <c r="E209" s="199"/>
      <c r="F209" s="199"/>
      <c r="G209" s="199"/>
      <c r="H209" s="199"/>
      <c r="I209" s="199"/>
      <c r="J209" s="199"/>
      <c r="K209" s="199"/>
      <c r="L209" s="199"/>
      <c r="M209" s="199"/>
      <c r="N209" s="199"/>
      <c r="O209" s="199"/>
      <c r="P209" s="199"/>
      <c r="Q209" s="199"/>
      <c r="R209" s="199"/>
      <c r="S209" s="199"/>
    </row>
    <row r="211" spans="1:19">
      <c r="E211" s="244">
        <v>2018</v>
      </c>
      <c r="F211" s="244">
        <v>2019</v>
      </c>
      <c r="G211" s="244">
        <v>2020</v>
      </c>
      <c r="H211" s="244">
        <v>2021</v>
      </c>
      <c r="I211" s="244">
        <v>2022</v>
      </c>
      <c r="J211" s="244">
        <v>2023</v>
      </c>
      <c r="K211" s="244">
        <v>2024</v>
      </c>
      <c r="L211" s="244">
        <v>2025</v>
      </c>
      <c r="M211" s="244">
        <v>2026</v>
      </c>
      <c r="N211" s="244">
        <v>2027</v>
      </c>
      <c r="O211" s="244">
        <v>2028</v>
      </c>
      <c r="P211" s="244">
        <v>2029</v>
      </c>
      <c r="Q211" s="244">
        <v>2030</v>
      </c>
    </row>
    <row r="212" spans="1:19" ht="78">
      <c r="B212" s="176" t="s">
        <v>11</v>
      </c>
      <c r="C212" s="171" t="str">
        <f>C9</f>
        <v>Էներգաարդյունավետություն (ՀՆԱ-ի արտադրություն առաջնային էներգիայի համախառն սպառման հաշվով, մլն․ ԱՄՆ դոլար/1000 տոննա նավթային համարժեք)</v>
      </c>
      <c r="D212" s="172" t="s">
        <v>462</v>
      </c>
      <c r="E212" s="245">
        <f>E220/E219</f>
        <v>14.174811824901386</v>
      </c>
      <c r="F212" s="245">
        <f>F220/F219</f>
        <v>14.112637374675852</v>
      </c>
      <c r="G212" s="245">
        <f>G220/G219</f>
        <v>12.398973661385369</v>
      </c>
      <c r="H212" s="245">
        <f>H220/H219</f>
        <v>12.516883192261885</v>
      </c>
      <c r="I212" s="245">
        <f>I220/I219</f>
        <v>13.265965795420945</v>
      </c>
      <c r="J212" s="193">
        <f>I212*((Q212/I212)^(1/8))^(J211-I211)</f>
        <v>13.471250792820264</v>
      </c>
      <c r="K212" s="193">
        <f>I212*((Q212/I212)^(1/8))^(K211-I211)</f>
        <v>13.679712485441563</v>
      </c>
      <c r="L212" s="193">
        <f>I212*((Q212/I212)^(1/8))^(L211-I211)</f>
        <v>13.891400031248942</v>
      </c>
      <c r="M212" s="193">
        <f>I212*((Q212/I212)^(1/8))^(M211-I211)</f>
        <v>14.106363348904425</v>
      </c>
      <c r="N212" s="193">
        <f>I212*((Q212/I212)^(1/8))^(N211-I211)</f>
        <v>14.324653129539415</v>
      </c>
      <c r="O212" s="193">
        <f>I212*((Q212/I212)^(1/8))^(O211-I211)</f>
        <v>14.546320848708319</v>
      </c>
      <c r="P212" s="193">
        <f>I212*((Q212/I212)^(1/8))^(P211-I211)</f>
        <v>14.771418778527156</v>
      </c>
      <c r="Q212" s="246">
        <v>15</v>
      </c>
    </row>
    <row r="214" spans="1:19">
      <c r="I214" s="217" t="s">
        <v>604</v>
      </c>
      <c r="J214" s="247">
        <f>J212-I212</f>
        <v>0.20528499739931938</v>
      </c>
      <c r="K214" s="247">
        <f t="shared" ref="K214:Q214" si="42">K212-J212</f>
        <v>0.20846169262129877</v>
      </c>
      <c r="L214" s="247">
        <f t="shared" si="42"/>
        <v>0.21168754580737925</v>
      </c>
      <c r="M214" s="247">
        <f t="shared" si="42"/>
        <v>0.21496331765548327</v>
      </c>
      <c r="N214" s="247">
        <f t="shared" si="42"/>
        <v>0.21828978063498994</v>
      </c>
      <c r="O214" s="247">
        <f t="shared" si="42"/>
        <v>0.22166771916890404</v>
      </c>
      <c r="P214" s="247">
        <f t="shared" si="42"/>
        <v>0.22509792981883692</v>
      </c>
      <c r="Q214" s="247">
        <f t="shared" si="42"/>
        <v>0.22858122147284377</v>
      </c>
    </row>
    <row r="218" spans="1:19">
      <c r="E218" s="191" t="s">
        <v>605</v>
      </c>
      <c r="F218" s="191" t="s">
        <v>606</v>
      </c>
      <c r="G218" s="191" t="s">
        <v>607</v>
      </c>
      <c r="H218" s="191" t="s">
        <v>608</v>
      </c>
      <c r="I218" s="191" t="s">
        <v>516</v>
      </c>
      <c r="J218" s="191" t="s">
        <v>609</v>
      </c>
    </row>
    <row r="219" spans="1:19" ht="43.2">
      <c r="C219" s="248" t="s">
        <v>610</v>
      </c>
      <c r="D219" s="249" t="s">
        <v>611</v>
      </c>
      <c r="E219" s="250">
        <v>3149.6</v>
      </c>
      <c r="F219" s="250">
        <v>3403.9</v>
      </c>
      <c r="G219" s="250">
        <v>3595.4</v>
      </c>
      <c r="H219" s="250">
        <v>3768.1</v>
      </c>
      <c r="I219" s="250">
        <v>4003.3</v>
      </c>
      <c r="J219" s="251" t="s">
        <v>54</v>
      </c>
    </row>
    <row r="220" spans="1:19" ht="28.8">
      <c r="C220" s="248" t="s">
        <v>612</v>
      </c>
      <c r="D220" s="249" t="s">
        <v>613</v>
      </c>
      <c r="E220" s="250">
        <v>44644.987323709407</v>
      </c>
      <c r="F220" s="250">
        <v>48038.006359659135</v>
      </c>
      <c r="G220" s="250">
        <v>44579.269902144959</v>
      </c>
      <c r="H220" s="250">
        <v>47164.867556762008</v>
      </c>
      <c r="I220" s="250">
        <v>53107.640868808667</v>
      </c>
      <c r="J220" s="250">
        <v>57728.005624395017</v>
      </c>
    </row>
    <row r="224" spans="1:19" ht="15" thickBot="1">
      <c r="A224" s="198" t="s">
        <v>614</v>
      </c>
      <c r="B224" s="199"/>
      <c r="C224" s="199"/>
      <c r="D224" s="199"/>
      <c r="E224" s="199"/>
      <c r="F224" s="199"/>
      <c r="G224" s="199"/>
      <c r="H224" s="199"/>
      <c r="I224" s="199"/>
      <c r="J224" s="199"/>
      <c r="K224" s="199"/>
      <c r="L224" s="199"/>
      <c r="M224" s="199"/>
      <c r="N224" s="199"/>
      <c r="O224" s="199"/>
      <c r="P224" s="199"/>
      <c r="Q224" s="199"/>
      <c r="R224" s="199"/>
      <c r="S224" s="199"/>
    </row>
    <row r="226" spans="2:17">
      <c r="E226" s="244">
        <v>2018</v>
      </c>
      <c r="F226" s="244">
        <v>2019</v>
      </c>
      <c r="G226" s="244">
        <v>2020</v>
      </c>
      <c r="H226" s="244">
        <v>2021</v>
      </c>
      <c r="I226" s="244">
        <v>2022</v>
      </c>
      <c r="J226" s="244">
        <v>2023</v>
      </c>
      <c r="K226" s="244">
        <v>2024</v>
      </c>
      <c r="L226" s="244">
        <v>2025</v>
      </c>
      <c r="M226" s="244">
        <v>2026</v>
      </c>
      <c r="N226" s="244">
        <v>2027</v>
      </c>
      <c r="O226" s="244">
        <v>2028</v>
      </c>
      <c r="P226" s="244">
        <v>2029</v>
      </c>
      <c r="Q226" s="244">
        <v>2030</v>
      </c>
    </row>
    <row r="227" spans="2:17" ht="62.4">
      <c r="B227" s="176" t="s">
        <v>12</v>
      </c>
      <c r="C227" s="171" t="str">
        <f>C10</f>
        <v xml:space="preserve">Միջին ու փոքր տնտեսավարողների մասնաբաժին՝ համախառն ավելացված արժեքի կազմում (ոչ ֆինանսական բիզնես հատված, %) </v>
      </c>
      <c r="D227" s="172" t="s">
        <v>453</v>
      </c>
      <c r="E227" s="251" t="s">
        <v>54</v>
      </c>
      <c r="F227" s="251" t="s">
        <v>54</v>
      </c>
      <c r="G227" s="250">
        <f>(G239+G238)/G233*100</f>
        <v>40.189200091011429</v>
      </c>
      <c r="H227" s="250">
        <f>(H239+H238)/H233*100</f>
        <v>37.560176653254942</v>
      </c>
      <c r="I227" s="250">
        <f>(I239+I238)/I233*100</f>
        <v>37.364470701425006</v>
      </c>
      <c r="J227" s="250">
        <f>(J239+J238)/J233*100</f>
        <v>41.372244862706772</v>
      </c>
      <c r="K227" s="193">
        <f>$J227*(($Q227/$J227)^(1/7))^(K226-$J226)</f>
        <v>41.87201508355448</v>
      </c>
      <c r="L227" s="193">
        <f t="shared" ref="L227:P227" si="43">$J227*(($Q227/$J227)^(1/7))^(L226-$J226)</f>
        <v>42.377822450186159</v>
      </c>
      <c r="M227" s="193">
        <f t="shared" si="43"/>
        <v>42.889739890374805</v>
      </c>
      <c r="N227" s="193">
        <f t="shared" si="43"/>
        <v>43.407841212849455</v>
      </c>
      <c r="O227" s="193">
        <f t="shared" si="43"/>
        <v>43.932201117937012</v>
      </c>
      <c r="P227" s="193">
        <f t="shared" si="43"/>
        <v>44.46289520833259</v>
      </c>
      <c r="Q227" s="252">
        <v>45</v>
      </c>
    </row>
    <row r="229" spans="2:17">
      <c r="J229" s="217" t="s">
        <v>564</v>
      </c>
      <c r="K229" s="247">
        <f t="shared" ref="K229:Q229" si="44">K227-J227</f>
        <v>0.49977022084770795</v>
      </c>
      <c r="L229" s="247">
        <f t="shared" si="44"/>
        <v>0.50580736663167869</v>
      </c>
      <c r="M229" s="247">
        <f t="shared" si="44"/>
        <v>0.51191744018864682</v>
      </c>
      <c r="N229" s="247">
        <f t="shared" si="44"/>
        <v>0.51810132247464935</v>
      </c>
      <c r="O229" s="247">
        <f t="shared" si="44"/>
        <v>0.52435990508755737</v>
      </c>
      <c r="P229" s="247">
        <f t="shared" si="44"/>
        <v>0.53069409039557769</v>
      </c>
      <c r="Q229" s="247">
        <f t="shared" si="44"/>
        <v>0.5371047916674101</v>
      </c>
    </row>
    <row r="231" spans="2:17">
      <c r="C231" t="s">
        <v>615</v>
      </c>
    </row>
    <row r="232" spans="2:17">
      <c r="C232" s="170"/>
      <c r="D232" s="169"/>
      <c r="E232" s="169">
        <v>2018</v>
      </c>
      <c r="F232" s="169">
        <v>2019</v>
      </c>
      <c r="G232" s="169">
        <v>2020</v>
      </c>
      <c r="H232" s="169">
        <v>2021</v>
      </c>
      <c r="I232" s="169">
        <v>2022</v>
      </c>
      <c r="J232" s="169">
        <v>2023</v>
      </c>
    </row>
    <row r="233" spans="2:17">
      <c r="C233" s="253" t="s">
        <v>616</v>
      </c>
      <c r="D233" s="169" t="s">
        <v>596</v>
      </c>
      <c r="E233" s="184">
        <v>2364.3372000000004</v>
      </c>
      <c r="F233" s="184">
        <v>2610.8515000000002</v>
      </c>
      <c r="G233" s="184">
        <v>2561.4364</v>
      </c>
      <c r="H233" s="184">
        <v>3047.7559000000001</v>
      </c>
      <c r="I233" s="184">
        <v>3665.6833999999999</v>
      </c>
      <c r="J233" s="184">
        <v>4226.0825000000004</v>
      </c>
    </row>
    <row r="234" spans="2:17">
      <c r="C234" s="242" t="s">
        <v>617</v>
      </c>
      <c r="D234" s="169" t="s">
        <v>596</v>
      </c>
      <c r="E234" s="184">
        <v>1417.7799000000002</v>
      </c>
      <c r="F234" s="184">
        <v>1708.5352</v>
      </c>
      <c r="G234" s="184">
        <v>1625.3878999999999</v>
      </c>
      <c r="H234" s="184">
        <v>1932.4443999999999</v>
      </c>
      <c r="I234" s="184">
        <v>2426.6790999999998</v>
      </c>
      <c r="J234" s="184">
        <v>2985.06</v>
      </c>
    </row>
    <row r="235" spans="2:17">
      <c r="C235" s="254" t="s">
        <v>618</v>
      </c>
      <c r="D235" s="169" t="s">
        <v>596</v>
      </c>
      <c r="E235" s="184">
        <v>946.55730000000005</v>
      </c>
      <c r="F235" s="184">
        <v>902.31630000000007</v>
      </c>
      <c r="G235" s="184">
        <v>936.04849999999999</v>
      </c>
      <c r="H235" s="184">
        <v>1115.3115</v>
      </c>
      <c r="I235" s="184">
        <v>1239.0043000000001</v>
      </c>
      <c r="J235" s="184">
        <v>1241.0225</v>
      </c>
    </row>
    <row r="236" spans="2:17">
      <c r="C236" s="254" t="s">
        <v>619</v>
      </c>
      <c r="D236" s="169" t="s">
        <v>596</v>
      </c>
      <c r="E236" s="184">
        <v>954.89909999999998</v>
      </c>
      <c r="F236" s="184">
        <v>1177.6667</v>
      </c>
      <c r="G236" s="184">
        <v>1080.0273</v>
      </c>
      <c r="H236" s="184">
        <v>1344.3398</v>
      </c>
      <c r="I236" s="184">
        <v>1710.9855999999997</v>
      </c>
      <c r="J236" s="184">
        <f>SUM(J237:J238)</f>
        <v>2021.3119999999999</v>
      </c>
    </row>
    <row r="237" spans="2:17">
      <c r="C237" s="255" t="s">
        <v>620</v>
      </c>
      <c r="D237" s="169" t="s">
        <v>596</v>
      </c>
      <c r="E237" s="184">
        <v>0</v>
      </c>
      <c r="F237" s="184">
        <v>0</v>
      </c>
      <c r="G237" s="184">
        <v>595.96709999999996</v>
      </c>
      <c r="H237" s="184">
        <v>787.70190000000002</v>
      </c>
      <c r="I237" s="184">
        <v>1057.0158999999999</v>
      </c>
      <c r="J237" s="184">
        <v>1236.6348</v>
      </c>
    </row>
    <row r="238" spans="2:17">
      <c r="C238" s="255" t="s">
        <v>621</v>
      </c>
      <c r="D238" s="169" t="s">
        <v>596</v>
      </c>
      <c r="E238" s="184">
        <v>0</v>
      </c>
      <c r="F238" s="184">
        <v>0</v>
      </c>
      <c r="G238" s="184">
        <v>484.06020000000001</v>
      </c>
      <c r="H238" s="184">
        <v>556.63790000000006</v>
      </c>
      <c r="I238" s="184">
        <v>653.96969999999999</v>
      </c>
      <c r="J238" s="184">
        <v>784.67719999999997</v>
      </c>
    </row>
    <row r="239" spans="2:17">
      <c r="C239" s="254" t="s">
        <v>622</v>
      </c>
      <c r="D239" s="169" t="s">
        <v>596</v>
      </c>
      <c r="E239" s="184">
        <v>462.88079999999997</v>
      </c>
      <c r="F239" s="184">
        <v>530.86850000000004</v>
      </c>
      <c r="G239" s="184">
        <v>545.36059999999998</v>
      </c>
      <c r="H239" s="184">
        <v>588.1046</v>
      </c>
      <c r="I239" s="184">
        <v>715.69349999999997</v>
      </c>
      <c r="J239" s="184">
        <v>963.74800000000005</v>
      </c>
    </row>
    <row r="242" spans="3:19">
      <c r="C242" s="205" t="s">
        <v>505</v>
      </c>
      <c r="D242" s="206" t="s">
        <v>623</v>
      </c>
    </row>
    <row r="244" spans="3:19">
      <c r="C244" s="206" t="s">
        <v>507</v>
      </c>
      <c r="E244" s="205" t="s">
        <v>508</v>
      </c>
    </row>
    <row r="245" spans="3:19">
      <c r="C245" s="206" t="s">
        <v>509</v>
      </c>
      <c r="E245" s="205" t="s">
        <v>511</v>
      </c>
    </row>
    <row r="246" spans="3:19">
      <c r="C246" s="206" t="s">
        <v>513</v>
      </c>
      <c r="E246" s="205" t="s">
        <v>514</v>
      </c>
    </row>
    <row r="248" spans="3:19">
      <c r="C248" s="207" t="s">
        <v>515</v>
      </c>
      <c r="D248" s="377" t="s">
        <v>516</v>
      </c>
      <c r="E248" s="377" t="s">
        <v>517</v>
      </c>
      <c r="F248" s="377" t="s">
        <v>516</v>
      </c>
      <c r="G248" s="377" t="s">
        <v>517</v>
      </c>
      <c r="H248" s="377" t="s">
        <v>516</v>
      </c>
      <c r="I248" s="377" t="s">
        <v>517</v>
      </c>
      <c r="J248" s="377" t="s">
        <v>516</v>
      </c>
      <c r="K248" s="377" t="s">
        <v>517</v>
      </c>
      <c r="L248" s="377" t="s">
        <v>516</v>
      </c>
      <c r="M248" s="377" t="s">
        <v>517</v>
      </c>
      <c r="N248" s="377" t="s">
        <v>516</v>
      </c>
      <c r="O248" s="377" t="s">
        <v>517</v>
      </c>
      <c r="P248" s="377" t="s">
        <v>516</v>
      </c>
      <c r="Q248" s="377" t="s">
        <v>517</v>
      </c>
      <c r="R248" s="377" t="s">
        <v>516</v>
      </c>
      <c r="S248" s="377" t="s">
        <v>517</v>
      </c>
    </row>
    <row r="249" spans="3:19" ht="24">
      <c r="C249" s="207" t="s">
        <v>518</v>
      </c>
      <c r="D249" s="256" t="s">
        <v>624</v>
      </c>
      <c r="E249" s="257" t="s">
        <v>625</v>
      </c>
      <c r="F249" s="378" t="s">
        <v>626</v>
      </c>
      <c r="G249" s="378" t="s">
        <v>517</v>
      </c>
      <c r="H249" s="376" t="s">
        <v>519</v>
      </c>
      <c r="I249" s="376" t="s">
        <v>517</v>
      </c>
      <c r="J249" s="376" t="s">
        <v>627</v>
      </c>
      <c r="K249" s="376" t="s">
        <v>517</v>
      </c>
      <c r="L249" s="376" t="s">
        <v>520</v>
      </c>
      <c r="M249" s="376" t="s">
        <v>517</v>
      </c>
      <c r="N249" s="376" t="s">
        <v>521</v>
      </c>
      <c r="O249" s="376" t="s">
        <v>517</v>
      </c>
      <c r="P249" s="376" t="s">
        <v>522</v>
      </c>
      <c r="Q249" s="376" t="s">
        <v>517</v>
      </c>
      <c r="R249" s="376" t="s">
        <v>628</v>
      </c>
      <c r="S249" s="376" t="s">
        <v>517</v>
      </c>
    </row>
    <row r="250" spans="3:19">
      <c r="C250" s="208" t="s">
        <v>523</v>
      </c>
      <c r="D250" s="209" t="s">
        <v>517</v>
      </c>
      <c r="E250" s="209" t="s">
        <v>517</v>
      </c>
      <c r="F250" s="209" t="s">
        <v>517</v>
      </c>
      <c r="G250" s="209" t="s">
        <v>517</v>
      </c>
      <c r="H250" s="209" t="s">
        <v>517</v>
      </c>
      <c r="I250" s="209" t="s">
        <v>517</v>
      </c>
      <c r="J250" s="209" t="s">
        <v>517</v>
      </c>
      <c r="K250" s="209" t="s">
        <v>517</v>
      </c>
      <c r="L250" s="209" t="s">
        <v>517</v>
      </c>
      <c r="M250" s="209" t="s">
        <v>517</v>
      </c>
      <c r="N250" s="209" t="s">
        <v>517</v>
      </c>
      <c r="O250" s="209" t="s">
        <v>517</v>
      </c>
      <c r="P250" s="209" t="s">
        <v>517</v>
      </c>
      <c r="Q250" s="209" t="s">
        <v>517</v>
      </c>
      <c r="R250" s="209" t="s">
        <v>517</v>
      </c>
      <c r="S250" s="209" t="s">
        <v>517</v>
      </c>
    </row>
    <row r="251" spans="3:19">
      <c r="C251" s="210" t="s">
        <v>524</v>
      </c>
      <c r="D251" s="211" t="s">
        <v>525</v>
      </c>
      <c r="E251" s="211" t="s">
        <v>517</v>
      </c>
      <c r="F251" s="211" t="s">
        <v>525</v>
      </c>
      <c r="G251" s="211" t="s">
        <v>517</v>
      </c>
      <c r="H251" s="211" t="s">
        <v>525</v>
      </c>
      <c r="I251" s="211" t="s">
        <v>517</v>
      </c>
      <c r="J251" s="211" t="s">
        <v>525</v>
      </c>
      <c r="K251" s="211" t="s">
        <v>517</v>
      </c>
      <c r="L251" s="211" t="s">
        <v>525</v>
      </c>
      <c r="M251" s="211" t="s">
        <v>517</v>
      </c>
      <c r="N251" s="211" t="s">
        <v>525</v>
      </c>
      <c r="O251" s="211" t="s">
        <v>517</v>
      </c>
      <c r="P251" s="211" t="s">
        <v>525</v>
      </c>
      <c r="Q251" s="211" t="s">
        <v>517</v>
      </c>
      <c r="R251" s="211" t="s">
        <v>525</v>
      </c>
      <c r="S251" s="211" t="s">
        <v>517</v>
      </c>
    </row>
    <row r="252" spans="3:19">
      <c r="C252" s="210" t="s">
        <v>526</v>
      </c>
      <c r="D252" s="213">
        <v>387607.06</v>
      </c>
      <c r="E252" s="212">
        <f>(L252+N252+P252)/D252*100</f>
        <v>37.98536848116234</v>
      </c>
      <c r="F252" s="258">
        <f>SUM(H252:P252)/D252*100</f>
        <v>57.879848731341475</v>
      </c>
      <c r="G252" s="212" t="s">
        <v>517</v>
      </c>
      <c r="H252" s="213">
        <v>77112.41</v>
      </c>
      <c r="I252" s="212" t="s">
        <v>517</v>
      </c>
      <c r="J252" s="212" t="s">
        <v>525</v>
      </c>
      <c r="K252" s="212" t="s">
        <v>517</v>
      </c>
      <c r="L252" s="213">
        <v>20563.75</v>
      </c>
      <c r="M252" s="212" t="s">
        <v>517</v>
      </c>
      <c r="N252" s="213">
        <v>29910.95</v>
      </c>
      <c r="O252" s="212" t="s">
        <v>517</v>
      </c>
      <c r="P252" s="213">
        <v>96759.27</v>
      </c>
      <c r="Q252" s="212" t="s">
        <v>517</v>
      </c>
      <c r="R252" s="213">
        <v>163260.68</v>
      </c>
      <c r="S252" s="212" t="s">
        <v>517</v>
      </c>
    </row>
    <row r="253" spans="3:19">
      <c r="C253" s="210" t="s">
        <v>527</v>
      </c>
      <c r="D253" s="214">
        <v>49712.81</v>
      </c>
      <c r="E253" s="212">
        <f t="shared" ref="E253:E286" si="45">(L253+N253+P253)/D253*100</f>
        <v>42.714523681119616</v>
      </c>
      <c r="F253" s="258">
        <f t="shared" ref="F253:F286" si="46">SUM(H253:P253)/D253*100</f>
        <v>62.404740347608602</v>
      </c>
      <c r="G253" s="211" t="s">
        <v>517</v>
      </c>
      <c r="H253" s="214">
        <v>9788.56</v>
      </c>
      <c r="I253" s="211" t="s">
        <v>517</v>
      </c>
      <c r="J253" s="211" t="s">
        <v>525</v>
      </c>
      <c r="K253" s="211" t="s">
        <v>517</v>
      </c>
      <c r="L253" s="214">
        <v>4531.87</v>
      </c>
      <c r="M253" s="211" t="s">
        <v>517</v>
      </c>
      <c r="N253" s="214">
        <v>5722.54</v>
      </c>
      <c r="O253" s="211" t="s">
        <v>517</v>
      </c>
      <c r="P253" s="214">
        <v>10980.18</v>
      </c>
      <c r="Q253" s="211" t="s">
        <v>517</v>
      </c>
      <c r="R253" s="214">
        <v>18689.66</v>
      </c>
      <c r="S253" s="211" t="s">
        <v>517</v>
      </c>
    </row>
    <row r="254" spans="3:19">
      <c r="C254" s="210" t="s">
        <v>528</v>
      </c>
      <c r="D254" s="213">
        <v>152481.74</v>
      </c>
      <c r="E254" s="212">
        <f t="shared" si="45"/>
        <v>39.583119919801547</v>
      </c>
      <c r="F254" s="258">
        <f t="shared" si="46"/>
        <v>62.621176804514434</v>
      </c>
      <c r="G254" s="212" t="s">
        <v>517</v>
      </c>
      <c r="H254" s="213">
        <v>35128.83</v>
      </c>
      <c r="I254" s="212" t="s">
        <v>517</v>
      </c>
      <c r="J254" s="212" t="s">
        <v>525</v>
      </c>
      <c r="K254" s="212" t="s">
        <v>517</v>
      </c>
      <c r="L254" s="213">
        <v>9945.99</v>
      </c>
      <c r="M254" s="212" t="s">
        <v>517</v>
      </c>
      <c r="N254" s="213">
        <v>15790.04</v>
      </c>
      <c r="O254" s="212" t="s">
        <v>517</v>
      </c>
      <c r="P254" s="215">
        <v>34621</v>
      </c>
      <c r="Q254" s="212" t="s">
        <v>517</v>
      </c>
      <c r="R254" s="213">
        <v>56995.88</v>
      </c>
      <c r="S254" s="212" t="s">
        <v>517</v>
      </c>
    </row>
    <row r="255" spans="3:19">
      <c r="C255" s="210" t="s">
        <v>529</v>
      </c>
      <c r="D255" s="214">
        <v>226762.37</v>
      </c>
      <c r="E255" s="212">
        <f t="shared" si="45"/>
        <v>34.542062688796207</v>
      </c>
      <c r="F255" s="258">
        <f t="shared" si="46"/>
        <v>49.233874209376097</v>
      </c>
      <c r="G255" s="211" t="s">
        <v>517</v>
      </c>
      <c r="H255" s="216">
        <v>33315.5</v>
      </c>
      <c r="I255" s="211" t="s">
        <v>517</v>
      </c>
      <c r="J255" s="211" t="s">
        <v>525</v>
      </c>
      <c r="K255" s="211" t="s">
        <v>517</v>
      </c>
      <c r="L255" s="216">
        <v>13784.9</v>
      </c>
      <c r="M255" s="211" t="s">
        <v>517</v>
      </c>
      <c r="N255" s="216">
        <v>21505.7</v>
      </c>
      <c r="O255" s="211" t="s">
        <v>517</v>
      </c>
      <c r="P255" s="216">
        <v>43037.8</v>
      </c>
      <c r="Q255" s="211" t="s">
        <v>517</v>
      </c>
      <c r="R255" s="214">
        <v>115118.47</v>
      </c>
      <c r="S255" s="211" t="s">
        <v>517</v>
      </c>
    </row>
    <row r="256" spans="3:19">
      <c r="C256" s="210" t="s">
        <v>530</v>
      </c>
      <c r="D256" s="213">
        <v>2875615.05</v>
      </c>
      <c r="E256" s="212">
        <f t="shared" si="45"/>
        <v>31.424312861347698</v>
      </c>
      <c r="F256" s="258">
        <f t="shared" si="46"/>
        <v>47.550779441079918</v>
      </c>
      <c r="G256" s="212" t="s">
        <v>517</v>
      </c>
      <c r="H256" s="215">
        <v>463735.1</v>
      </c>
      <c r="I256" s="212" t="s">
        <v>517</v>
      </c>
      <c r="J256" s="212" t="s">
        <v>525</v>
      </c>
      <c r="K256" s="212" t="s">
        <v>517</v>
      </c>
      <c r="L256" s="213">
        <v>216243.24</v>
      </c>
      <c r="M256" s="212" t="s">
        <v>517</v>
      </c>
      <c r="N256" s="213">
        <v>244011.73</v>
      </c>
      <c r="O256" s="212" t="s">
        <v>517</v>
      </c>
      <c r="P256" s="215">
        <v>443387.3</v>
      </c>
      <c r="Q256" s="212" t="s">
        <v>517</v>
      </c>
      <c r="R256" s="213">
        <v>1508237.68</v>
      </c>
      <c r="S256" s="212" t="s">
        <v>517</v>
      </c>
    </row>
    <row r="257" spans="3:19">
      <c r="C257" s="210" t="s">
        <v>531</v>
      </c>
      <c r="D257" s="214">
        <v>21018.11</v>
      </c>
      <c r="E257" s="212">
        <f t="shared" si="45"/>
        <v>48.184922431179587</v>
      </c>
      <c r="F257" s="258">
        <f t="shared" si="46"/>
        <v>79.185140814278739</v>
      </c>
      <c r="G257" s="211" t="s">
        <v>517</v>
      </c>
      <c r="H257" s="214">
        <v>6515.66</v>
      </c>
      <c r="I257" s="211" t="s">
        <v>517</v>
      </c>
      <c r="J257" s="211" t="s">
        <v>525</v>
      </c>
      <c r="K257" s="211" t="s">
        <v>517</v>
      </c>
      <c r="L257" s="214">
        <v>1857.79</v>
      </c>
      <c r="M257" s="211" t="s">
        <v>517</v>
      </c>
      <c r="N257" s="214">
        <v>2966.33</v>
      </c>
      <c r="O257" s="211" t="s">
        <v>517</v>
      </c>
      <c r="P257" s="214">
        <v>5303.44</v>
      </c>
      <c r="Q257" s="211" t="s">
        <v>517</v>
      </c>
      <c r="R257" s="214">
        <v>4374.8900000000003</v>
      </c>
      <c r="S257" s="211" t="s">
        <v>517</v>
      </c>
    </row>
    <row r="258" spans="3:19">
      <c r="C258" s="210" t="s">
        <v>532</v>
      </c>
      <c r="D258" s="213">
        <v>424182.28</v>
      </c>
      <c r="E258" s="212">
        <f t="shared" si="45"/>
        <v>20.551912258098099</v>
      </c>
      <c r="F258" s="258">
        <f t="shared" si="46"/>
        <v>40.587143338472316</v>
      </c>
      <c r="G258" s="212" t="s">
        <v>517</v>
      </c>
      <c r="H258" s="215">
        <v>84985.9</v>
      </c>
      <c r="I258" s="212" t="s">
        <v>517</v>
      </c>
      <c r="J258" s="212" t="s">
        <v>525</v>
      </c>
      <c r="K258" s="212" t="s">
        <v>517</v>
      </c>
      <c r="L258" s="213">
        <v>15949.13</v>
      </c>
      <c r="M258" s="212" t="s">
        <v>517</v>
      </c>
      <c r="N258" s="213">
        <v>26012.61</v>
      </c>
      <c r="O258" s="212" t="s">
        <v>517</v>
      </c>
      <c r="P258" s="213">
        <v>45215.83</v>
      </c>
      <c r="Q258" s="212" t="s">
        <v>517</v>
      </c>
      <c r="R258" s="215">
        <v>252018.8</v>
      </c>
      <c r="S258" s="212" t="s">
        <v>517</v>
      </c>
    </row>
    <row r="259" spans="3:19">
      <c r="C259" s="210" t="s">
        <v>533</v>
      </c>
      <c r="D259" s="214">
        <v>90861.26</v>
      </c>
      <c r="E259" s="212">
        <f t="shared" si="45"/>
        <v>36.938492818611586</v>
      </c>
      <c r="F259" s="258">
        <f t="shared" si="46"/>
        <v>56.049949120230124</v>
      </c>
      <c r="G259" s="211" t="s">
        <v>517</v>
      </c>
      <c r="H259" s="214">
        <v>17364.91</v>
      </c>
      <c r="I259" s="211" t="s">
        <v>517</v>
      </c>
      <c r="J259" s="211" t="s">
        <v>525</v>
      </c>
      <c r="K259" s="211" t="s">
        <v>517</v>
      </c>
      <c r="L259" s="214">
        <v>7073.23</v>
      </c>
      <c r="M259" s="211" t="s">
        <v>517</v>
      </c>
      <c r="N259" s="214">
        <v>9756.81</v>
      </c>
      <c r="O259" s="211" t="s">
        <v>517</v>
      </c>
      <c r="P259" s="214">
        <v>16732.740000000002</v>
      </c>
      <c r="Q259" s="211" t="s">
        <v>517</v>
      </c>
      <c r="R259" s="214">
        <v>39933.58</v>
      </c>
      <c r="S259" s="211" t="s">
        <v>517</v>
      </c>
    </row>
    <row r="260" spans="3:19">
      <c r="C260" s="210" t="s">
        <v>534</v>
      </c>
      <c r="D260" s="213">
        <v>774977.07</v>
      </c>
      <c r="E260" s="212">
        <f t="shared" si="45"/>
        <v>33.163287011833788</v>
      </c>
      <c r="F260" s="258">
        <f t="shared" si="46"/>
        <v>54.472556200920899</v>
      </c>
      <c r="G260" s="212" t="s">
        <v>517</v>
      </c>
      <c r="H260" s="213">
        <v>165141.95000000001</v>
      </c>
      <c r="I260" s="212" t="s">
        <v>517</v>
      </c>
      <c r="J260" s="212" t="s">
        <v>525</v>
      </c>
      <c r="K260" s="212" t="s">
        <v>517</v>
      </c>
      <c r="L260" s="213">
        <v>56312.38</v>
      </c>
      <c r="M260" s="212" t="s">
        <v>517</v>
      </c>
      <c r="N260" s="213">
        <v>76316.429999999993</v>
      </c>
      <c r="O260" s="212" t="s">
        <v>517</v>
      </c>
      <c r="P260" s="213">
        <v>124379.06</v>
      </c>
      <c r="Q260" s="212" t="s">
        <v>517</v>
      </c>
      <c r="R260" s="213">
        <v>352827.26</v>
      </c>
      <c r="S260" s="212" t="s">
        <v>517</v>
      </c>
    </row>
    <row r="261" spans="3:19">
      <c r="C261" s="210" t="s">
        <v>535</v>
      </c>
      <c r="D261" s="214">
        <v>1443884.05</v>
      </c>
      <c r="E261" s="212">
        <f t="shared" si="45"/>
        <v>24.880223588590788</v>
      </c>
      <c r="F261" s="258">
        <f t="shared" si="46"/>
        <v>43.799942246055004</v>
      </c>
      <c r="G261" s="211" t="s">
        <v>517</v>
      </c>
      <c r="H261" s="216">
        <v>273178.8</v>
      </c>
      <c r="I261" s="211" t="s">
        <v>517</v>
      </c>
      <c r="J261" s="211" t="s">
        <v>525</v>
      </c>
      <c r="K261" s="211" t="s">
        <v>517</v>
      </c>
      <c r="L261" s="214">
        <v>84016.11</v>
      </c>
      <c r="M261" s="211" t="s">
        <v>517</v>
      </c>
      <c r="N261" s="214">
        <v>101188.08</v>
      </c>
      <c r="O261" s="211" t="s">
        <v>517</v>
      </c>
      <c r="P261" s="214">
        <v>174037.39</v>
      </c>
      <c r="Q261" s="211" t="s">
        <v>517</v>
      </c>
      <c r="R261" s="214">
        <v>811463.68000000005</v>
      </c>
      <c r="S261" s="211" t="s">
        <v>517</v>
      </c>
    </row>
    <row r="262" spans="3:19">
      <c r="C262" s="210" t="s">
        <v>536</v>
      </c>
      <c r="D262" s="213">
        <v>35997.29</v>
      </c>
      <c r="E262" s="212">
        <f t="shared" si="45"/>
        <v>38.989907295799206</v>
      </c>
      <c r="F262" s="258">
        <f t="shared" si="46"/>
        <v>61.351368394676378</v>
      </c>
      <c r="G262" s="212" t="s">
        <v>517</v>
      </c>
      <c r="H262" s="213">
        <v>8049.52</v>
      </c>
      <c r="I262" s="212" t="s">
        <v>517</v>
      </c>
      <c r="J262" s="212" t="s">
        <v>525</v>
      </c>
      <c r="K262" s="212" t="s">
        <v>517</v>
      </c>
      <c r="L262" s="213">
        <v>3187.85</v>
      </c>
      <c r="M262" s="212" t="s">
        <v>517</v>
      </c>
      <c r="N262" s="215">
        <v>4206.3</v>
      </c>
      <c r="O262" s="212" t="s">
        <v>517</v>
      </c>
      <c r="P262" s="213">
        <v>6641.16</v>
      </c>
      <c r="Q262" s="212" t="s">
        <v>517</v>
      </c>
      <c r="R262" s="213">
        <v>13912.45</v>
      </c>
      <c r="S262" s="212" t="s">
        <v>517</v>
      </c>
    </row>
    <row r="263" spans="3:19">
      <c r="C263" s="210" t="s">
        <v>537</v>
      </c>
      <c r="D263" s="214">
        <v>1091754.53</v>
      </c>
      <c r="E263" s="212">
        <f t="shared" si="45"/>
        <v>36.432261929794784</v>
      </c>
      <c r="F263" s="258">
        <f t="shared" si="46"/>
        <v>62.03157132766831</v>
      </c>
      <c r="G263" s="211" t="s">
        <v>517</v>
      </c>
      <c r="H263" s="214">
        <v>279481.62</v>
      </c>
      <c r="I263" s="211" t="s">
        <v>517</v>
      </c>
      <c r="J263" s="211" t="s">
        <v>525</v>
      </c>
      <c r="K263" s="211" t="s">
        <v>517</v>
      </c>
      <c r="L263" s="214">
        <v>97172.62</v>
      </c>
      <c r="M263" s="211" t="s">
        <v>517</v>
      </c>
      <c r="N263" s="214">
        <v>110636.98</v>
      </c>
      <c r="O263" s="211" t="s">
        <v>517</v>
      </c>
      <c r="P263" s="214">
        <v>189941.27</v>
      </c>
      <c r="Q263" s="211" t="s">
        <v>517</v>
      </c>
      <c r="R263" s="214">
        <v>414522.04</v>
      </c>
      <c r="S263" s="211" t="s">
        <v>517</v>
      </c>
    </row>
    <row r="264" spans="3:19">
      <c r="C264" s="210" t="s">
        <v>538</v>
      </c>
      <c r="D264" s="213">
        <v>17843.59</v>
      </c>
      <c r="E264" s="212">
        <f t="shared" si="45"/>
        <v>51.418464557860844</v>
      </c>
      <c r="F264" s="258">
        <f t="shared" si="46"/>
        <v>76.255058539228926</v>
      </c>
      <c r="G264" s="212" t="s">
        <v>517</v>
      </c>
      <c r="H264" s="213">
        <v>4431.74</v>
      </c>
      <c r="I264" s="212" t="s">
        <v>517</v>
      </c>
      <c r="J264" s="212" t="s">
        <v>525</v>
      </c>
      <c r="K264" s="212" t="s">
        <v>517</v>
      </c>
      <c r="L264" s="213">
        <v>2113.7600000000002</v>
      </c>
      <c r="M264" s="212" t="s">
        <v>517</v>
      </c>
      <c r="N264" s="213">
        <v>2658.21</v>
      </c>
      <c r="O264" s="212" t="s">
        <v>517</v>
      </c>
      <c r="P264" s="213">
        <v>4402.93</v>
      </c>
      <c r="Q264" s="212" t="s">
        <v>517</v>
      </c>
      <c r="R264" s="213">
        <v>4236.95</v>
      </c>
      <c r="S264" s="212" t="s">
        <v>517</v>
      </c>
    </row>
    <row r="265" spans="3:19">
      <c r="C265" s="210" t="s">
        <v>539</v>
      </c>
      <c r="D265" s="214">
        <v>19970.47</v>
      </c>
      <c r="E265" s="212">
        <f t="shared" si="45"/>
        <v>47.614252443733172</v>
      </c>
      <c r="F265" s="258">
        <f t="shared" si="46"/>
        <v>67.921536148122698</v>
      </c>
      <c r="G265" s="211" t="s">
        <v>517</v>
      </c>
      <c r="H265" s="214">
        <v>4055.46</v>
      </c>
      <c r="I265" s="211" t="s">
        <v>517</v>
      </c>
      <c r="J265" s="211" t="s">
        <v>525</v>
      </c>
      <c r="K265" s="211" t="s">
        <v>517</v>
      </c>
      <c r="L265" s="216">
        <v>1842.7</v>
      </c>
      <c r="M265" s="211" t="s">
        <v>517</v>
      </c>
      <c r="N265" s="214">
        <v>2721.52</v>
      </c>
      <c r="O265" s="211" t="s">
        <v>517</v>
      </c>
      <c r="P265" s="214">
        <v>4944.57</v>
      </c>
      <c r="Q265" s="211" t="s">
        <v>517</v>
      </c>
      <c r="R265" s="214">
        <v>6406.21</v>
      </c>
      <c r="S265" s="211" t="s">
        <v>517</v>
      </c>
    </row>
    <row r="266" spans="3:19">
      <c r="C266" s="210" t="s">
        <v>540</v>
      </c>
      <c r="D266" s="213">
        <v>38900.92</v>
      </c>
      <c r="E266" s="212">
        <f t="shared" si="45"/>
        <v>45.173635996269496</v>
      </c>
      <c r="F266" s="258">
        <f t="shared" si="46"/>
        <v>63.268529381824393</v>
      </c>
      <c r="G266" s="212" t="s">
        <v>517</v>
      </c>
      <c r="H266" s="213">
        <v>7039.08</v>
      </c>
      <c r="I266" s="212" t="s">
        <v>517</v>
      </c>
      <c r="J266" s="212" t="s">
        <v>525</v>
      </c>
      <c r="K266" s="212" t="s">
        <v>517</v>
      </c>
      <c r="L266" s="213">
        <v>3166.75</v>
      </c>
      <c r="M266" s="212" t="s">
        <v>517</v>
      </c>
      <c r="N266" s="213">
        <v>4777.72</v>
      </c>
      <c r="O266" s="212" t="s">
        <v>517</v>
      </c>
      <c r="P266" s="213">
        <v>9628.49</v>
      </c>
      <c r="Q266" s="212" t="s">
        <v>517</v>
      </c>
      <c r="R266" s="213">
        <v>14288.88</v>
      </c>
      <c r="S266" s="212" t="s">
        <v>517</v>
      </c>
    </row>
    <row r="267" spans="3:19">
      <c r="C267" s="210" t="s">
        <v>541</v>
      </c>
      <c r="D267" s="214">
        <v>52608.85</v>
      </c>
      <c r="E267" s="212">
        <f t="shared" si="45"/>
        <v>44.312962552878467</v>
      </c>
      <c r="F267" s="258">
        <f t="shared" si="46"/>
        <v>59.328630068895258</v>
      </c>
      <c r="G267" s="211" t="s">
        <v>517</v>
      </c>
      <c r="H267" s="214">
        <v>7899.57</v>
      </c>
      <c r="I267" s="211" t="s">
        <v>517</v>
      </c>
      <c r="J267" s="211" t="s">
        <v>525</v>
      </c>
      <c r="K267" s="211" t="s">
        <v>517</v>
      </c>
      <c r="L267" s="214">
        <v>3732.56</v>
      </c>
      <c r="M267" s="211" t="s">
        <v>517</v>
      </c>
      <c r="N267" s="214">
        <v>6205.39</v>
      </c>
      <c r="O267" s="211" t="s">
        <v>517</v>
      </c>
      <c r="P267" s="214">
        <v>13374.59</v>
      </c>
      <c r="Q267" s="211" t="s">
        <v>517</v>
      </c>
      <c r="R267" s="214">
        <v>21396.75</v>
      </c>
      <c r="S267" s="211" t="s">
        <v>517</v>
      </c>
    </row>
    <row r="268" spans="3:19">
      <c r="C268" s="210" t="s">
        <v>542</v>
      </c>
      <c r="D268" s="213">
        <v>96578.84</v>
      </c>
      <c r="E268" s="212">
        <f t="shared" si="45"/>
        <v>33.819271384912057</v>
      </c>
      <c r="F268" s="258">
        <f t="shared" si="46"/>
        <v>54.255321351964895</v>
      </c>
      <c r="G268" s="212" t="s">
        <v>517</v>
      </c>
      <c r="H268" s="215">
        <v>19736.900000000001</v>
      </c>
      <c r="I268" s="212" t="s">
        <v>517</v>
      </c>
      <c r="J268" s="212" t="s">
        <v>525</v>
      </c>
      <c r="K268" s="212" t="s">
        <v>517</v>
      </c>
      <c r="L268" s="213">
        <v>7156.84</v>
      </c>
      <c r="M268" s="212" t="s">
        <v>517</v>
      </c>
      <c r="N268" s="213">
        <v>9235.26</v>
      </c>
      <c r="O268" s="212" t="s">
        <v>517</v>
      </c>
      <c r="P268" s="213">
        <v>16270.16</v>
      </c>
      <c r="Q268" s="212" t="s">
        <v>517</v>
      </c>
      <c r="R268" s="213">
        <v>44179.67</v>
      </c>
      <c r="S268" s="212" t="s">
        <v>517</v>
      </c>
    </row>
    <row r="269" spans="3:19">
      <c r="C269" s="210" t="s">
        <v>543</v>
      </c>
      <c r="D269" s="214">
        <v>12870.89</v>
      </c>
      <c r="E269" s="212">
        <f t="shared" si="45"/>
        <v>41.825235084753274</v>
      </c>
      <c r="F269" s="258">
        <f t="shared" si="46"/>
        <v>66.036381322503729</v>
      </c>
      <c r="G269" s="211" t="s">
        <v>517</v>
      </c>
      <c r="H269" s="214">
        <v>3116.19</v>
      </c>
      <c r="I269" s="211" t="s">
        <v>517</v>
      </c>
      <c r="J269" s="211" t="s">
        <v>525</v>
      </c>
      <c r="K269" s="211" t="s">
        <v>517</v>
      </c>
      <c r="L269" s="214">
        <v>1341.31</v>
      </c>
      <c r="M269" s="211" t="s">
        <v>517</v>
      </c>
      <c r="N269" s="214">
        <v>1623.68</v>
      </c>
      <c r="O269" s="211" t="s">
        <v>517</v>
      </c>
      <c r="P269" s="214">
        <v>2418.29</v>
      </c>
      <c r="Q269" s="211" t="s">
        <v>517</v>
      </c>
      <c r="R269" s="214">
        <v>4371.43</v>
      </c>
      <c r="S269" s="211" t="s">
        <v>517</v>
      </c>
    </row>
    <row r="270" spans="3:19">
      <c r="C270" s="210" t="s">
        <v>544</v>
      </c>
      <c r="D270" s="213">
        <v>686974.05</v>
      </c>
      <c r="E270" s="212">
        <f t="shared" si="45"/>
        <v>35.240185564505673</v>
      </c>
      <c r="F270" s="258">
        <f t="shared" si="46"/>
        <v>56.966790812549618</v>
      </c>
      <c r="G270" s="212" t="s">
        <v>517</v>
      </c>
      <c r="H270" s="213">
        <v>149256.14000000001</v>
      </c>
      <c r="I270" s="212" t="s">
        <v>517</v>
      </c>
      <c r="J270" s="212" t="s">
        <v>525</v>
      </c>
      <c r="K270" s="212" t="s">
        <v>517</v>
      </c>
      <c r="L270" s="213">
        <v>38650.019999999997</v>
      </c>
      <c r="M270" s="212" t="s">
        <v>517</v>
      </c>
      <c r="N270" s="213">
        <v>60774.12</v>
      </c>
      <c r="O270" s="212" t="s">
        <v>517</v>
      </c>
      <c r="P270" s="213">
        <v>142666.79</v>
      </c>
      <c r="Q270" s="212" t="s">
        <v>517</v>
      </c>
      <c r="R270" s="213">
        <v>295626.98</v>
      </c>
      <c r="S270" s="212" t="s">
        <v>517</v>
      </c>
    </row>
    <row r="271" spans="3:19">
      <c r="C271" s="210" t="s">
        <v>545</v>
      </c>
      <c r="D271" s="214">
        <v>286600.18</v>
      </c>
      <c r="E271" s="212">
        <f t="shared" si="45"/>
        <v>38.628709165500183</v>
      </c>
      <c r="F271" s="258">
        <f t="shared" si="46"/>
        <v>55.740840776862044</v>
      </c>
      <c r="G271" s="211" t="s">
        <v>517</v>
      </c>
      <c r="H271" s="216">
        <v>49043.4</v>
      </c>
      <c r="I271" s="211" t="s">
        <v>517</v>
      </c>
      <c r="J271" s="211" t="s">
        <v>525</v>
      </c>
      <c r="K271" s="211" t="s">
        <v>517</v>
      </c>
      <c r="L271" s="214">
        <v>21958.52</v>
      </c>
      <c r="M271" s="211" t="s">
        <v>517</v>
      </c>
      <c r="N271" s="214">
        <v>30017.63</v>
      </c>
      <c r="O271" s="211" t="s">
        <v>517</v>
      </c>
      <c r="P271" s="216">
        <v>58733.8</v>
      </c>
      <c r="Q271" s="211" t="s">
        <v>517</v>
      </c>
      <c r="R271" s="214">
        <v>126846.84</v>
      </c>
      <c r="S271" s="211" t="s">
        <v>517</v>
      </c>
    </row>
    <row r="272" spans="3:19">
      <c r="C272" s="210" t="s">
        <v>546</v>
      </c>
      <c r="D272" s="215">
        <v>381572.1</v>
      </c>
      <c r="E272" s="212">
        <f t="shared" si="45"/>
        <v>30.982943983587894</v>
      </c>
      <c r="F272" s="258">
        <f t="shared" si="46"/>
        <v>50.150183936404161</v>
      </c>
      <c r="G272" s="212" t="s">
        <v>517</v>
      </c>
      <c r="H272" s="213">
        <v>73136.84</v>
      </c>
      <c r="I272" s="212" t="s">
        <v>517</v>
      </c>
      <c r="J272" s="212" t="s">
        <v>525</v>
      </c>
      <c r="K272" s="212" t="s">
        <v>517</v>
      </c>
      <c r="L272" s="213">
        <v>23796.71</v>
      </c>
      <c r="M272" s="212" t="s">
        <v>517</v>
      </c>
      <c r="N272" s="213">
        <v>33003.85</v>
      </c>
      <c r="O272" s="212" t="s">
        <v>517</v>
      </c>
      <c r="P272" s="213">
        <v>61421.71</v>
      </c>
      <c r="Q272" s="212" t="s">
        <v>517</v>
      </c>
      <c r="R272" s="213">
        <v>190212.98</v>
      </c>
      <c r="S272" s="212" t="s">
        <v>517</v>
      </c>
    </row>
    <row r="273" spans="3:19">
      <c r="C273" s="210" t="s">
        <v>547</v>
      </c>
      <c r="D273" s="214">
        <v>141957.35999999999</v>
      </c>
      <c r="E273" s="212"/>
      <c r="F273" s="258">
        <f t="shared" si="46"/>
        <v>45.789918888319711</v>
      </c>
      <c r="G273" s="211" t="s">
        <v>517</v>
      </c>
      <c r="H273" s="216">
        <v>36715.300000000003</v>
      </c>
      <c r="I273" s="211" t="s">
        <v>517</v>
      </c>
      <c r="J273" s="211" t="s">
        <v>525</v>
      </c>
      <c r="K273" s="211" t="s">
        <v>517</v>
      </c>
      <c r="L273" s="214">
        <v>11569.62</v>
      </c>
      <c r="M273" s="211" t="s">
        <v>517</v>
      </c>
      <c r="N273" s="214">
        <v>16717.240000000002</v>
      </c>
      <c r="O273" s="211" t="s">
        <v>517</v>
      </c>
      <c r="P273" s="211" t="s">
        <v>525</v>
      </c>
      <c r="Q273" s="211" t="s">
        <v>548</v>
      </c>
      <c r="R273" s="211" t="s">
        <v>525</v>
      </c>
      <c r="S273" s="211" t="s">
        <v>548</v>
      </c>
    </row>
    <row r="274" spans="3:19">
      <c r="C274" s="210" t="s">
        <v>549</v>
      </c>
      <c r="D274" s="213">
        <v>133447.65</v>
      </c>
      <c r="E274" s="212">
        <f t="shared" si="45"/>
        <v>33.531425993638706</v>
      </c>
      <c r="F274" s="258">
        <f t="shared" si="46"/>
        <v>55.276762086106437</v>
      </c>
      <c r="G274" s="212" t="s">
        <v>517</v>
      </c>
      <c r="H274" s="213">
        <v>29018.639999999999</v>
      </c>
      <c r="I274" s="212" t="s">
        <v>517</v>
      </c>
      <c r="J274" s="212" t="s">
        <v>525</v>
      </c>
      <c r="K274" s="212" t="s">
        <v>517</v>
      </c>
      <c r="L274" s="215">
        <v>9768.7999999999993</v>
      </c>
      <c r="M274" s="212" t="s">
        <v>517</v>
      </c>
      <c r="N274" s="213">
        <v>13566.29</v>
      </c>
      <c r="O274" s="212" t="s">
        <v>517</v>
      </c>
      <c r="P274" s="213">
        <v>21411.81</v>
      </c>
      <c r="Q274" s="212" t="s">
        <v>517</v>
      </c>
      <c r="R274" s="213">
        <v>59682.11</v>
      </c>
      <c r="S274" s="212" t="s">
        <v>517</v>
      </c>
    </row>
    <row r="275" spans="3:19">
      <c r="C275" s="210" t="s">
        <v>550</v>
      </c>
      <c r="D275" s="214">
        <v>36766.51</v>
      </c>
      <c r="E275" s="212">
        <f t="shared" si="45"/>
        <v>40.330371308019167</v>
      </c>
      <c r="F275" s="258">
        <f t="shared" si="46"/>
        <v>65.351157887980122</v>
      </c>
      <c r="G275" s="211" t="s">
        <v>517</v>
      </c>
      <c r="H275" s="214">
        <v>9199.27</v>
      </c>
      <c r="I275" s="211" t="s">
        <v>517</v>
      </c>
      <c r="J275" s="211" t="s">
        <v>525</v>
      </c>
      <c r="K275" s="211" t="s">
        <v>517</v>
      </c>
      <c r="L275" s="214">
        <v>3230.46</v>
      </c>
      <c r="M275" s="211" t="s">
        <v>517</v>
      </c>
      <c r="N275" s="214">
        <v>4015.92</v>
      </c>
      <c r="O275" s="211" t="s">
        <v>517</v>
      </c>
      <c r="P275" s="214">
        <v>7581.69</v>
      </c>
      <c r="Q275" s="211" t="s">
        <v>517</v>
      </c>
      <c r="R275" s="214">
        <v>12739.19</v>
      </c>
      <c r="S275" s="211" t="s">
        <v>517</v>
      </c>
    </row>
    <row r="276" spans="3:19">
      <c r="C276" s="210" t="s">
        <v>551</v>
      </c>
      <c r="D276" s="213">
        <v>58087.11</v>
      </c>
      <c r="E276" s="212">
        <f t="shared" si="45"/>
        <v>35.511992247505511</v>
      </c>
      <c r="F276" s="258">
        <f t="shared" si="46"/>
        <v>57.216669929008347</v>
      </c>
      <c r="G276" s="212" t="s">
        <v>517</v>
      </c>
      <c r="H276" s="213">
        <v>12607.62</v>
      </c>
      <c r="I276" s="212" t="s">
        <v>517</v>
      </c>
      <c r="J276" s="212" t="s">
        <v>525</v>
      </c>
      <c r="K276" s="212" t="s">
        <v>517</v>
      </c>
      <c r="L276" s="213">
        <v>3474.27</v>
      </c>
      <c r="M276" s="212" t="s">
        <v>517</v>
      </c>
      <c r="N276" s="213">
        <v>4975.29</v>
      </c>
      <c r="O276" s="212" t="s">
        <v>517</v>
      </c>
      <c r="P276" s="213">
        <v>12178.33</v>
      </c>
      <c r="Q276" s="212" t="s">
        <v>517</v>
      </c>
      <c r="R276" s="215">
        <v>24851.599999999999</v>
      </c>
      <c r="S276" s="212" t="s">
        <v>517</v>
      </c>
    </row>
    <row r="277" spans="3:19">
      <c r="C277" s="210" t="s">
        <v>552</v>
      </c>
      <c r="D277" s="214">
        <v>134035.16</v>
      </c>
      <c r="E277" s="212">
        <f t="shared" si="45"/>
        <v>38.171267897169663</v>
      </c>
      <c r="F277" s="258">
        <f t="shared" si="46"/>
        <v>56.760852898597648</v>
      </c>
      <c r="G277" s="211" t="s">
        <v>517</v>
      </c>
      <c r="H277" s="214">
        <v>24916.58</v>
      </c>
      <c r="I277" s="211" t="s">
        <v>517</v>
      </c>
      <c r="J277" s="211" t="s">
        <v>525</v>
      </c>
      <c r="K277" s="211" t="s">
        <v>517</v>
      </c>
      <c r="L277" s="214">
        <v>9749.0300000000007</v>
      </c>
      <c r="M277" s="211" t="s">
        <v>517</v>
      </c>
      <c r="N277" s="214">
        <v>14589.34</v>
      </c>
      <c r="O277" s="211" t="s">
        <v>517</v>
      </c>
      <c r="P277" s="214">
        <v>26824.55</v>
      </c>
      <c r="Q277" s="211" t="s">
        <v>517</v>
      </c>
      <c r="R277" s="214">
        <v>57955.67</v>
      </c>
      <c r="S277" s="211" t="s">
        <v>517</v>
      </c>
    </row>
    <row r="278" spans="3:19">
      <c r="C278" s="210" t="s">
        <v>553</v>
      </c>
      <c r="D278" s="215">
        <v>374102.7</v>
      </c>
      <c r="E278" s="212">
        <f t="shared" si="45"/>
        <v>33.142340325263625</v>
      </c>
      <c r="F278" s="258">
        <f t="shared" si="46"/>
        <v>47.72121131443317</v>
      </c>
      <c r="G278" s="212" t="s">
        <v>517</v>
      </c>
      <c r="H278" s="213">
        <v>54539.95</v>
      </c>
      <c r="I278" s="212" t="s">
        <v>517</v>
      </c>
      <c r="J278" s="212" t="s">
        <v>525</v>
      </c>
      <c r="K278" s="212" t="s">
        <v>517</v>
      </c>
      <c r="L278" s="213">
        <v>22629.13</v>
      </c>
      <c r="M278" s="212" t="s">
        <v>517</v>
      </c>
      <c r="N278" s="213">
        <v>32152.92</v>
      </c>
      <c r="O278" s="212" t="s">
        <v>517</v>
      </c>
      <c r="P278" s="213">
        <v>69204.34</v>
      </c>
      <c r="Q278" s="212" t="s">
        <v>517</v>
      </c>
      <c r="R278" s="213">
        <v>195576.36</v>
      </c>
      <c r="S278" s="212" t="s">
        <v>517</v>
      </c>
    </row>
    <row r="279" spans="3:19">
      <c r="C279" s="210" t="s">
        <v>554</v>
      </c>
      <c r="D279" s="214">
        <v>15316.89</v>
      </c>
      <c r="E279" s="212">
        <f t="shared" si="45"/>
        <v>45.24658726412477</v>
      </c>
      <c r="F279" s="258">
        <f t="shared" si="46"/>
        <v>71.157460816131717</v>
      </c>
      <c r="G279" s="211" t="s">
        <v>517</v>
      </c>
      <c r="H279" s="214">
        <v>3968.74</v>
      </c>
      <c r="I279" s="211" t="s">
        <v>517</v>
      </c>
      <c r="J279" s="211" t="s">
        <v>525</v>
      </c>
      <c r="K279" s="211" t="s">
        <v>517</v>
      </c>
      <c r="L279" s="214">
        <v>1288.45</v>
      </c>
      <c r="M279" s="211" t="s">
        <v>517</v>
      </c>
      <c r="N279" s="214">
        <v>2312.27</v>
      </c>
      <c r="O279" s="211" t="s">
        <v>517</v>
      </c>
      <c r="P279" s="214">
        <v>3329.65</v>
      </c>
      <c r="Q279" s="211" t="s">
        <v>517</v>
      </c>
      <c r="R279" s="214">
        <v>4417.79</v>
      </c>
      <c r="S279" s="211" t="s">
        <v>517</v>
      </c>
    </row>
    <row r="280" spans="3:19">
      <c r="C280" s="210" t="s">
        <v>555</v>
      </c>
      <c r="D280" s="213">
        <v>426427.28</v>
      </c>
      <c r="E280" s="212">
        <f t="shared" si="45"/>
        <v>20.069848720747881</v>
      </c>
      <c r="F280" s="258">
        <f t="shared" si="46"/>
        <v>32.644501543147051</v>
      </c>
      <c r="G280" s="212" t="s">
        <v>517</v>
      </c>
      <c r="H280" s="213">
        <v>53621.75</v>
      </c>
      <c r="I280" s="212" t="s">
        <v>517</v>
      </c>
      <c r="J280" s="212" t="s">
        <v>525</v>
      </c>
      <c r="K280" s="212" t="s">
        <v>517</v>
      </c>
      <c r="L280" s="213">
        <v>16726.57</v>
      </c>
      <c r="M280" s="212" t="s">
        <v>517</v>
      </c>
      <c r="N280" s="213">
        <v>25650.959999999999</v>
      </c>
      <c r="O280" s="212" t="s">
        <v>517</v>
      </c>
      <c r="P280" s="213">
        <v>43205.78</v>
      </c>
      <c r="Q280" s="212" t="s">
        <v>517</v>
      </c>
      <c r="R280" s="213">
        <v>287222.21999999997</v>
      </c>
      <c r="S280" s="212" t="s">
        <v>517</v>
      </c>
    </row>
    <row r="281" spans="3:19">
      <c r="C281" s="210" t="s">
        <v>556</v>
      </c>
      <c r="D281" s="214">
        <v>456235.69</v>
      </c>
      <c r="E281" s="212">
        <f t="shared" si="45"/>
        <v>54.853845388553445</v>
      </c>
      <c r="F281" s="258">
        <f t="shared" si="46"/>
        <v>66.915882885006212</v>
      </c>
      <c r="G281" s="211" t="s">
        <v>517</v>
      </c>
      <c r="H281" s="214">
        <v>55031.32</v>
      </c>
      <c r="I281" s="211" t="s">
        <v>557</v>
      </c>
      <c r="J281" s="211" t="s">
        <v>525</v>
      </c>
      <c r="K281" s="211" t="s">
        <v>517</v>
      </c>
      <c r="L281" s="214">
        <v>44588.85</v>
      </c>
      <c r="M281" s="211" t="s">
        <v>557</v>
      </c>
      <c r="N281" s="214">
        <v>58529.09</v>
      </c>
      <c r="O281" s="211" t="s">
        <v>557</v>
      </c>
      <c r="P281" s="214">
        <v>147144.88</v>
      </c>
      <c r="Q281" s="211" t="s">
        <v>557</v>
      </c>
      <c r="R281" s="216">
        <v>234577.2</v>
      </c>
      <c r="S281" s="211" t="s">
        <v>557</v>
      </c>
    </row>
    <row r="282" spans="3:19">
      <c r="C282" s="210" t="s">
        <v>558</v>
      </c>
      <c r="D282" s="213">
        <v>13418.57</v>
      </c>
      <c r="E282" s="212">
        <f t="shared" si="45"/>
        <v>45.086249876104532</v>
      </c>
      <c r="F282" s="258">
        <f t="shared" si="46"/>
        <v>64.905425838967929</v>
      </c>
      <c r="G282" s="212" t="s">
        <v>517</v>
      </c>
      <c r="H282" s="213">
        <v>2659.45</v>
      </c>
      <c r="I282" s="212" t="s">
        <v>517</v>
      </c>
      <c r="J282" s="212" t="s">
        <v>525</v>
      </c>
      <c r="K282" s="212" t="s">
        <v>517</v>
      </c>
      <c r="L282" s="213">
        <v>1087.8800000000001</v>
      </c>
      <c r="M282" s="212" t="s">
        <v>517</v>
      </c>
      <c r="N282" s="213">
        <v>1793.23</v>
      </c>
      <c r="O282" s="212" t="s">
        <v>517</v>
      </c>
      <c r="P282" s="213">
        <v>3168.82</v>
      </c>
      <c r="Q282" s="212" t="s">
        <v>517</v>
      </c>
      <c r="R282" s="213">
        <v>4709.1899999999996</v>
      </c>
      <c r="S282" s="212" t="s">
        <v>517</v>
      </c>
    </row>
    <row r="283" spans="3:19">
      <c r="C283" s="210" t="s">
        <v>559</v>
      </c>
      <c r="D283" s="214">
        <v>2861.74</v>
      </c>
      <c r="E283" s="212"/>
      <c r="F283" s="258"/>
      <c r="G283" s="211" t="s">
        <v>517</v>
      </c>
      <c r="H283" s="211" t="s">
        <v>525</v>
      </c>
      <c r="I283" s="211" t="s">
        <v>517</v>
      </c>
      <c r="J283" s="211" t="s">
        <v>525</v>
      </c>
      <c r="K283" s="211" t="s">
        <v>517</v>
      </c>
      <c r="L283" s="211" t="s">
        <v>525</v>
      </c>
      <c r="M283" s="211" t="s">
        <v>517</v>
      </c>
      <c r="N283" s="211" t="s">
        <v>525</v>
      </c>
      <c r="O283" s="211" t="s">
        <v>517</v>
      </c>
      <c r="P283" s="211" t="s">
        <v>525</v>
      </c>
      <c r="Q283" s="211" t="s">
        <v>517</v>
      </c>
      <c r="R283" s="211" t="s">
        <v>525</v>
      </c>
      <c r="S283" s="211" t="s">
        <v>517</v>
      </c>
    </row>
    <row r="284" spans="3:19">
      <c r="C284" s="210" t="s">
        <v>560</v>
      </c>
      <c r="D284" s="213">
        <v>7026.18</v>
      </c>
      <c r="E284" s="212">
        <f t="shared" si="45"/>
        <v>42.5722085115952</v>
      </c>
      <c r="F284" s="258">
        <f t="shared" si="46"/>
        <v>64.575630000939341</v>
      </c>
      <c r="G284" s="212" t="s">
        <v>517</v>
      </c>
      <c r="H284" s="215">
        <v>1546</v>
      </c>
      <c r="I284" s="212" t="s">
        <v>517</v>
      </c>
      <c r="J284" s="212" t="s">
        <v>525</v>
      </c>
      <c r="K284" s="212" t="s">
        <v>517</v>
      </c>
      <c r="L284" s="213">
        <v>644.04</v>
      </c>
      <c r="M284" s="212" t="s">
        <v>517</v>
      </c>
      <c r="N284" s="213">
        <v>901.59</v>
      </c>
      <c r="O284" s="212" t="s">
        <v>517</v>
      </c>
      <c r="P284" s="213">
        <v>1445.57</v>
      </c>
      <c r="Q284" s="212" t="s">
        <v>517</v>
      </c>
      <c r="R284" s="213">
        <v>2488.9699999999998</v>
      </c>
      <c r="S284" s="212" t="s">
        <v>517</v>
      </c>
    </row>
    <row r="285" spans="3:19">
      <c r="C285" s="210" t="s">
        <v>561</v>
      </c>
      <c r="D285" s="211" t="s">
        <v>525</v>
      </c>
      <c r="E285" s="212"/>
      <c r="F285" s="258"/>
      <c r="G285" s="211" t="s">
        <v>517</v>
      </c>
      <c r="H285" s="211" t="s">
        <v>525</v>
      </c>
      <c r="I285" s="211" t="s">
        <v>517</v>
      </c>
      <c r="J285" s="211" t="s">
        <v>525</v>
      </c>
      <c r="K285" s="211" t="s">
        <v>517</v>
      </c>
      <c r="L285" s="211" t="s">
        <v>525</v>
      </c>
      <c r="M285" s="211" t="s">
        <v>517</v>
      </c>
      <c r="N285" s="211" t="s">
        <v>525</v>
      </c>
      <c r="O285" s="211" t="s">
        <v>517</v>
      </c>
      <c r="P285" s="211" t="s">
        <v>525</v>
      </c>
      <c r="Q285" s="211" t="s">
        <v>517</v>
      </c>
      <c r="R285" s="211" t="s">
        <v>525</v>
      </c>
      <c r="S285" s="211" t="s">
        <v>517</v>
      </c>
    </row>
    <row r="286" spans="3:19">
      <c r="C286" s="210" t="s">
        <v>562</v>
      </c>
      <c r="D286" s="213">
        <v>35231.29</v>
      </c>
      <c r="E286" s="212">
        <f t="shared" si="45"/>
        <v>41.18915316470104</v>
      </c>
      <c r="F286" s="258">
        <f t="shared" si="46"/>
        <v>55.280802945336369</v>
      </c>
      <c r="G286" s="212" t="s">
        <v>517</v>
      </c>
      <c r="H286" s="213">
        <v>4964.67</v>
      </c>
      <c r="I286" s="212" t="s">
        <v>517</v>
      </c>
      <c r="J286" s="212" t="s">
        <v>525</v>
      </c>
      <c r="K286" s="212" t="s">
        <v>517</v>
      </c>
      <c r="L286" s="213">
        <v>2709.41</v>
      </c>
      <c r="M286" s="212" t="s">
        <v>517</v>
      </c>
      <c r="N286" s="213">
        <v>3677.41</v>
      </c>
      <c r="O286" s="212" t="s">
        <v>517</v>
      </c>
      <c r="P286" s="213">
        <v>8124.65</v>
      </c>
      <c r="Q286" s="212" t="s">
        <v>517</v>
      </c>
      <c r="R286" s="213">
        <v>15822.05</v>
      </c>
      <c r="S286" s="212" t="s">
        <v>517</v>
      </c>
    </row>
    <row r="290" spans="1:19" ht="15" thickBot="1">
      <c r="A290" s="198" t="s">
        <v>629</v>
      </c>
      <c r="B290" s="199"/>
      <c r="C290" s="199"/>
      <c r="D290" s="199"/>
      <c r="E290" s="199"/>
      <c r="F290" s="199"/>
      <c r="G290" s="199"/>
      <c r="H290" s="199"/>
      <c r="I290" s="199"/>
      <c r="J290" s="199"/>
      <c r="K290" s="199"/>
      <c r="L290" s="199"/>
      <c r="M290" s="199"/>
      <c r="N290" s="199"/>
      <c r="O290" s="199"/>
      <c r="P290" s="199"/>
      <c r="Q290" s="199"/>
      <c r="R290" s="199"/>
      <c r="S290" s="199"/>
    </row>
    <row r="292" spans="1:19">
      <c r="E292" s="169">
        <v>2018</v>
      </c>
      <c r="F292" s="169">
        <v>2019</v>
      </c>
      <c r="G292" s="169">
        <v>2020</v>
      </c>
      <c r="H292" s="169">
        <v>2021</v>
      </c>
      <c r="I292" s="169">
        <v>2022</v>
      </c>
      <c r="J292" s="169">
        <v>2023</v>
      </c>
      <c r="K292" s="169">
        <v>2024</v>
      </c>
      <c r="L292" s="169">
        <v>2025</v>
      </c>
      <c r="M292" s="169">
        <v>2026</v>
      </c>
      <c r="N292" s="169">
        <v>2027</v>
      </c>
      <c r="O292" s="169">
        <v>2028</v>
      </c>
      <c r="P292" s="169">
        <v>2029</v>
      </c>
      <c r="Q292" s="169">
        <v>2030</v>
      </c>
    </row>
    <row r="293" spans="1:19" ht="46.8">
      <c r="B293" s="176" t="s">
        <v>13</v>
      </c>
      <c r="C293" s="171" t="str">
        <f>C11</f>
        <v xml:space="preserve">Բիզնեսի խտություն (ՍՊԸ-ների թիվ` 15-64 տարեկան 1000 մարդու հաշվով)  </v>
      </c>
      <c r="D293" s="172" t="s">
        <v>467</v>
      </c>
      <c r="E293" s="178">
        <f t="shared" ref="E293:J293" si="47">E300/(E299/1000)</f>
        <v>27.24699258113127</v>
      </c>
      <c r="F293" s="178">
        <f t="shared" si="47"/>
        <v>31.129976387552201</v>
      </c>
      <c r="G293" s="178">
        <f t="shared" si="47"/>
        <v>34.349249524443522</v>
      </c>
      <c r="H293" s="178">
        <f t="shared" si="47"/>
        <v>38.039099002018474</v>
      </c>
      <c r="I293" s="178">
        <f t="shared" si="47"/>
        <v>44.560112749504604</v>
      </c>
      <c r="J293" s="178">
        <f t="shared" si="47"/>
        <v>50.197874987574785</v>
      </c>
      <c r="K293" s="179">
        <f>J293*((Q293/J293)^(1/7))^(K292-J292)</f>
        <v>51.493438418964118</v>
      </c>
      <c r="L293" s="179">
        <f>J293*((Q293/J293)^(1/7))^(L292-J292)</f>
        <v>52.822439214089833</v>
      </c>
      <c r="M293" s="179">
        <f>J293*((Q293/J293)^(1/7))^(M292-J292)</f>
        <v>54.18574036218623</v>
      </c>
      <c r="N293" s="179">
        <f>J293*((Q293/J293)^(1/7))^(N292-J292)</f>
        <v>55.584227125488106</v>
      </c>
      <c r="O293" s="179">
        <f>J293*((Q293/J293)^(1/7))^(O292-J292)</f>
        <v>57.018807614077431</v>
      </c>
      <c r="P293" s="179">
        <f>J293*((Q293/J293)^(1/7))^(P292-J292)</f>
        <v>58.490413375566483</v>
      </c>
      <c r="Q293" s="189">
        <v>60</v>
      </c>
    </row>
    <row r="295" spans="1:19">
      <c r="J295" s="217" t="s">
        <v>604</v>
      </c>
      <c r="K295" s="241">
        <f>K293-J293</f>
        <v>1.2955634313893327</v>
      </c>
      <c r="L295" s="241">
        <f t="shared" ref="L295:Q295" si="48">L293-K293</f>
        <v>1.3290007951257152</v>
      </c>
      <c r="M295" s="241">
        <f t="shared" si="48"/>
        <v>1.3633011480963972</v>
      </c>
      <c r="N295" s="241">
        <f t="shared" si="48"/>
        <v>1.3984867633018752</v>
      </c>
      <c r="O295" s="241">
        <f t="shared" si="48"/>
        <v>1.4345804885893259</v>
      </c>
      <c r="P295" s="241">
        <f t="shared" si="48"/>
        <v>1.4716057614890516</v>
      </c>
      <c r="Q295" s="241">
        <f t="shared" si="48"/>
        <v>1.509586624433517</v>
      </c>
    </row>
    <row r="298" spans="1:19">
      <c r="C298" s="169"/>
      <c r="D298" s="169"/>
      <c r="E298" s="259">
        <v>2018</v>
      </c>
      <c r="F298" s="259">
        <v>2019</v>
      </c>
      <c r="G298" s="259">
        <v>2020</v>
      </c>
      <c r="H298" s="259">
        <v>2021</v>
      </c>
      <c r="I298" s="259">
        <v>2022</v>
      </c>
      <c r="J298" s="259">
        <v>2023</v>
      </c>
    </row>
    <row r="299" spans="1:19" ht="28.8">
      <c r="C299" s="170" t="s">
        <v>630</v>
      </c>
      <c r="D299" s="170"/>
      <c r="E299" s="260">
        <v>1933718</v>
      </c>
      <c r="F299" s="260">
        <v>1908739</v>
      </c>
      <c r="G299" s="260">
        <v>1886737</v>
      </c>
      <c r="H299" s="260">
        <v>1865265</v>
      </c>
      <c r="I299" s="260">
        <v>1845507</v>
      </c>
      <c r="J299" s="261">
        <v>1830954</v>
      </c>
      <c r="M299" s="204"/>
    </row>
    <row r="300" spans="1:19" ht="28.8">
      <c r="C300" s="170" t="s">
        <v>631</v>
      </c>
      <c r="D300" s="170"/>
      <c r="E300" s="260">
        <v>52688</v>
      </c>
      <c r="F300" s="260">
        <v>59419</v>
      </c>
      <c r="G300" s="260">
        <v>64808</v>
      </c>
      <c r="H300" s="260">
        <v>70953</v>
      </c>
      <c r="I300" s="260">
        <v>82236</v>
      </c>
      <c r="J300" s="260">
        <v>91910</v>
      </c>
    </row>
    <row r="301" spans="1:19">
      <c r="I301" s="163"/>
    </row>
    <row r="304" spans="1:19">
      <c r="C304" t="s">
        <v>632</v>
      </c>
    </row>
    <row r="305" spans="3:9">
      <c r="C305" s="169"/>
      <c r="D305" s="169"/>
      <c r="E305" s="169">
        <v>2018</v>
      </c>
      <c r="F305" s="169">
        <v>2019</v>
      </c>
      <c r="G305" s="169">
        <v>2020</v>
      </c>
      <c r="H305" s="169">
        <v>2021</v>
      </c>
      <c r="I305" s="169">
        <v>2022</v>
      </c>
    </row>
    <row r="306" spans="3:9">
      <c r="C306" s="169" t="s">
        <v>561</v>
      </c>
      <c r="D306" s="169"/>
      <c r="E306" s="184">
        <v>11.856216466671176</v>
      </c>
      <c r="F306" s="184">
        <v>12.344099116067145</v>
      </c>
      <c r="G306" s="184">
        <v>12.387816409250735</v>
      </c>
      <c r="H306" s="184">
        <v>13.264812435372972</v>
      </c>
      <c r="I306" s="184">
        <v>14.33001496909675</v>
      </c>
    </row>
    <row r="307" spans="3:9">
      <c r="C307" s="169" t="s">
        <v>633</v>
      </c>
      <c r="D307" s="169"/>
      <c r="E307" s="184">
        <v>12.094793828987259</v>
      </c>
      <c r="F307" s="184">
        <v>10.440566049400134</v>
      </c>
      <c r="G307" s="184"/>
      <c r="H307" s="184"/>
      <c r="I307" s="184"/>
    </row>
    <row r="308" spans="3:9">
      <c r="C308" s="169" t="s">
        <v>558</v>
      </c>
      <c r="D308" s="169"/>
      <c r="E308" s="184">
        <v>14.237549725391954</v>
      </c>
      <c r="F308" s="184">
        <v>15.061929650163499</v>
      </c>
      <c r="G308" s="184">
        <v>15.477630096142743</v>
      </c>
      <c r="H308" s="184">
        <v>15.531948808099797</v>
      </c>
      <c r="I308" s="184">
        <v>16.148212824213235</v>
      </c>
    </row>
    <row r="309" spans="3:9">
      <c r="C309" s="169" t="s">
        <v>527</v>
      </c>
      <c r="D309" s="169"/>
      <c r="E309" s="184">
        <v>150.035147685552</v>
      </c>
      <c r="F309" s="184">
        <v>162.23885983815475</v>
      </c>
      <c r="G309" s="184">
        <v>171.86479332812141</v>
      </c>
      <c r="H309" s="184">
        <v>182.68504089153026</v>
      </c>
      <c r="I309" s="184">
        <v>203.97151230972392</v>
      </c>
    </row>
    <row r="310" spans="3:9">
      <c r="C310" s="169" t="s">
        <v>536</v>
      </c>
      <c r="D310" s="169"/>
      <c r="E310" s="184">
        <v>71.07301342093281</v>
      </c>
      <c r="F310" s="184">
        <v>77.388509224494214</v>
      </c>
      <c r="G310" s="184">
        <v>82.495828017797891</v>
      </c>
      <c r="H310" s="184">
        <v>62.734001169324955</v>
      </c>
      <c r="I310" s="184">
        <v>65.372454967597079</v>
      </c>
    </row>
    <row r="311" spans="3:9">
      <c r="C311" s="169" t="s">
        <v>538</v>
      </c>
      <c r="D311" s="169"/>
      <c r="E311" s="184">
        <v>252.05500848579791</v>
      </c>
      <c r="F311" s="184">
        <v>259.11531619142892</v>
      </c>
      <c r="G311" s="184">
        <v>265.80777285401894</v>
      </c>
      <c r="H311" s="184"/>
      <c r="I311" s="184"/>
    </row>
    <row r="312" spans="3:9">
      <c r="C312" s="169" t="s">
        <v>528</v>
      </c>
      <c r="D312" s="169"/>
      <c r="E312" s="184">
        <v>67.57734835410109</v>
      </c>
      <c r="F312" s="184">
        <v>69.953350349380656</v>
      </c>
      <c r="G312" s="184">
        <v>71.975073005209666</v>
      </c>
      <c r="H312" s="184">
        <v>76.006199672041134</v>
      </c>
      <c r="I312" s="184">
        <v>78.152712655262036</v>
      </c>
    </row>
    <row r="313" spans="3:9">
      <c r="C313" s="169" t="s">
        <v>531</v>
      </c>
      <c r="D313" s="169"/>
      <c r="E313" s="184">
        <v>233.41778200415382</v>
      </c>
      <c r="F313" s="184">
        <v>243.55486738025394</v>
      </c>
      <c r="G313" s="184">
        <v>264.73123334900481</v>
      </c>
      <c r="H313" s="184">
        <v>291.38229874364595</v>
      </c>
      <c r="I313" s="184">
        <v>304.8167278537552</v>
      </c>
    </row>
    <row r="314" spans="3:9">
      <c r="C314" s="169" t="s">
        <v>568</v>
      </c>
      <c r="D314" s="169"/>
      <c r="E314" s="184">
        <v>100.5559605108933</v>
      </c>
      <c r="F314" s="184">
        <v>110.64722919034632</v>
      </c>
      <c r="G314" s="184">
        <v>118.52431616188123</v>
      </c>
      <c r="H314" s="184">
        <v>128.3902330280404</v>
      </c>
      <c r="I314" s="184">
        <v>137.11573696427058</v>
      </c>
    </row>
    <row r="315" spans="3:9">
      <c r="C315" s="169" t="s">
        <v>542</v>
      </c>
      <c r="D315" s="169"/>
      <c r="E315" s="184">
        <v>58.663911720364105</v>
      </c>
      <c r="F315" s="184">
        <v>59.053731362771956</v>
      </c>
      <c r="G315" s="184">
        <v>60.409311401183373</v>
      </c>
      <c r="H315" s="184">
        <v>63.683705634622143</v>
      </c>
      <c r="I315" s="184">
        <v>64.648010831647852</v>
      </c>
    </row>
    <row r="316" spans="3:9">
      <c r="C316" s="169" t="s">
        <v>634</v>
      </c>
      <c r="D316" s="169"/>
      <c r="E316" s="184">
        <v>31.301331735852102</v>
      </c>
      <c r="F316" s="184">
        <v>33.983994528253461</v>
      </c>
      <c r="G316" s="184">
        <v>37.314645260731645</v>
      </c>
      <c r="H316" s="184"/>
      <c r="I316" s="184"/>
    </row>
    <row r="317" spans="3:9">
      <c r="C317" s="169" t="s">
        <v>635</v>
      </c>
      <c r="D317" s="169"/>
      <c r="E317" s="184">
        <v>24.594089001340471</v>
      </c>
      <c r="F317" s="184">
        <v>29.270349083268467</v>
      </c>
      <c r="G317" s="184">
        <v>33.877570225379948</v>
      </c>
      <c r="H317" s="184"/>
      <c r="I317" s="184"/>
    </row>
    <row r="318" spans="3:9">
      <c r="C318" s="169" t="s">
        <v>636</v>
      </c>
      <c r="D318" s="169"/>
      <c r="E318" s="184"/>
      <c r="F318" s="184"/>
      <c r="G318" s="184"/>
      <c r="H318" s="184"/>
      <c r="I318" s="184">
        <v>26.121610786891058</v>
      </c>
    </row>
    <row r="319" spans="3:9">
      <c r="C319" s="169" t="s">
        <v>539</v>
      </c>
      <c r="D319" s="169"/>
      <c r="E319" s="184">
        <v>123.33149583795083</v>
      </c>
      <c r="F319" s="184">
        <v>114.53647091047543</v>
      </c>
      <c r="G319" s="184">
        <v>114.24236724970221</v>
      </c>
      <c r="H319" s="184">
        <v>112.45974189151597</v>
      </c>
      <c r="I319" s="184">
        <v>111.54266438616496</v>
      </c>
    </row>
    <row r="320" spans="3:9">
      <c r="C320" s="169" t="s">
        <v>540</v>
      </c>
      <c r="D320" s="169"/>
      <c r="E320" s="184">
        <v>70.173017203135018</v>
      </c>
      <c r="F320" s="184">
        <v>72.778037169124261</v>
      </c>
      <c r="G320" s="184">
        <v>75.039823048116006</v>
      </c>
      <c r="H320" s="184">
        <v>74.859984268207597</v>
      </c>
      <c r="I320" s="184">
        <v>69.555910182989237</v>
      </c>
    </row>
    <row r="321" spans="1:19">
      <c r="C321" s="169" t="s">
        <v>570</v>
      </c>
      <c r="D321" s="169"/>
      <c r="E321" s="184">
        <v>52.304324942258397</v>
      </c>
      <c r="F321" s="184">
        <v>54.407633100635827</v>
      </c>
      <c r="G321" s="184">
        <v>55.397172902688602</v>
      </c>
      <c r="H321" s="184">
        <v>57.488637048819776</v>
      </c>
      <c r="I321" s="184">
        <v>58.705663243185654</v>
      </c>
    </row>
    <row r="322" spans="1:19">
      <c r="C322" s="169" t="s">
        <v>637</v>
      </c>
      <c r="D322" s="169"/>
      <c r="E322" s="184">
        <v>47.74536724735885</v>
      </c>
      <c r="F322" s="184">
        <v>47.959755446320159</v>
      </c>
      <c r="G322" s="184">
        <v>48.716936384025715</v>
      </c>
      <c r="H322" s="184">
        <v>49.960058557445315</v>
      </c>
      <c r="I322" s="184">
        <v>51.371990362123853</v>
      </c>
    </row>
    <row r="323" spans="1:19">
      <c r="C323" s="169" t="s">
        <v>546</v>
      </c>
      <c r="D323" s="169"/>
      <c r="E323" s="184">
        <v>15.683708830712701</v>
      </c>
      <c r="F323" s="184">
        <v>16.860392227944192</v>
      </c>
      <c r="G323" s="184">
        <v>18.165170697928225</v>
      </c>
      <c r="H323" s="184">
        <v>20.05503410238002</v>
      </c>
      <c r="I323" s="184">
        <v>21.59397814575571</v>
      </c>
    </row>
    <row r="324" spans="1:19">
      <c r="C324" s="169" t="s">
        <v>549</v>
      </c>
      <c r="D324" s="169"/>
      <c r="E324" s="184">
        <v>84.153254315456394</v>
      </c>
      <c r="F324" s="184">
        <v>89.45982669147503</v>
      </c>
      <c r="G324" s="184">
        <v>94.414494768644218</v>
      </c>
      <c r="H324" s="184">
        <v>100.85940777664017</v>
      </c>
      <c r="I324" s="184">
        <v>107.10907771065908</v>
      </c>
    </row>
    <row r="325" spans="1:19">
      <c r="C325" s="169" t="s">
        <v>638</v>
      </c>
      <c r="D325" s="169"/>
      <c r="E325" s="184">
        <v>34.055019253946952</v>
      </c>
      <c r="F325" s="184">
        <v>31.00258409980173</v>
      </c>
      <c r="G325" s="184">
        <v>28.254440845305375</v>
      </c>
      <c r="H325" s="184">
        <v>26.968570357717642</v>
      </c>
      <c r="I325" s="184">
        <v>26.455866706801551</v>
      </c>
    </row>
    <row r="326" spans="1:19">
      <c r="C326" s="169" t="s">
        <v>562</v>
      </c>
      <c r="D326" s="169"/>
      <c r="E326" s="184">
        <v>31.198495903220103</v>
      </c>
      <c r="F326" s="184">
        <v>27.680356612472146</v>
      </c>
      <c r="G326" s="184">
        <v>28.257531598986269</v>
      </c>
      <c r="H326" s="184">
        <v>29.174336828729061</v>
      </c>
      <c r="I326" s="184">
        <v>30.146759483341445</v>
      </c>
    </row>
    <row r="327" spans="1:19">
      <c r="C327" s="169" t="s">
        <v>571</v>
      </c>
      <c r="D327" s="169"/>
      <c r="E327" s="184">
        <v>71.03164769751514</v>
      </c>
      <c r="F327" s="184">
        <v>76.126937097184921</v>
      </c>
      <c r="G327" s="184">
        <v>80.823225567037454</v>
      </c>
      <c r="H327" s="184">
        <v>82.73261446500662</v>
      </c>
      <c r="I327" s="184">
        <v>86.531392019841093</v>
      </c>
    </row>
    <row r="328" spans="1:19">
      <c r="C328" s="169" t="s">
        <v>550</v>
      </c>
      <c r="D328" s="169"/>
      <c r="E328" s="184">
        <v>52.16575631054554</v>
      </c>
      <c r="F328" s="184">
        <v>52.484445104564486</v>
      </c>
      <c r="G328" s="184">
        <v>52.930840544335716</v>
      </c>
      <c r="H328" s="184">
        <v>53.298655547351629</v>
      </c>
      <c r="I328" s="184">
        <v>54.408334767565385</v>
      </c>
    </row>
    <row r="329" spans="1:19">
      <c r="C329" s="169" t="s">
        <v>639</v>
      </c>
      <c r="D329" s="169"/>
      <c r="E329" s="184">
        <v>4.6306600233602531</v>
      </c>
      <c r="F329" s="184"/>
      <c r="G329" s="184"/>
      <c r="H329" s="184"/>
      <c r="I329" s="184"/>
    </row>
    <row r="330" spans="1:19">
      <c r="C330" s="169" t="s">
        <v>640</v>
      </c>
      <c r="D330" s="169"/>
      <c r="E330" s="184">
        <v>20.858658243023655</v>
      </c>
      <c r="F330" s="184"/>
      <c r="G330" s="184"/>
      <c r="H330" s="184"/>
      <c r="I330" s="184"/>
    </row>
    <row r="331" spans="1:19">
      <c r="C331" s="169" t="s">
        <v>641</v>
      </c>
      <c r="D331" s="169"/>
      <c r="E331" s="184">
        <v>8.1096745573101341</v>
      </c>
      <c r="F331" s="184">
        <v>10.41253026724748</v>
      </c>
      <c r="G331" s="184">
        <v>12.843732539014061</v>
      </c>
      <c r="H331" s="184"/>
      <c r="I331" s="184"/>
    </row>
    <row r="335" spans="1:19" ht="15" thickBot="1">
      <c r="A335" s="198" t="s">
        <v>15</v>
      </c>
      <c r="B335" s="199"/>
      <c r="C335" s="199"/>
      <c r="D335" s="199"/>
      <c r="E335" s="199"/>
      <c r="F335" s="199"/>
      <c r="G335" s="199"/>
      <c r="H335" s="199"/>
      <c r="I335" s="199"/>
      <c r="J335" s="199"/>
      <c r="K335" s="199"/>
      <c r="L335" s="199"/>
      <c r="M335" s="199"/>
      <c r="N335" s="199"/>
      <c r="O335" s="199"/>
      <c r="P335" s="199"/>
      <c r="Q335" s="199"/>
      <c r="R335" s="199"/>
      <c r="S335" s="199"/>
    </row>
    <row r="337" spans="2:17">
      <c r="E337" s="169">
        <v>2018</v>
      </c>
      <c r="F337" s="169">
        <v>2019</v>
      </c>
      <c r="G337" s="169">
        <v>2020</v>
      </c>
      <c r="H337" s="169">
        <v>2021</v>
      </c>
      <c r="I337" s="169">
        <v>2022</v>
      </c>
      <c r="J337" s="169">
        <v>2023</v>
      </c>
      <c r="K337" s="169">
        <v>2024</v>
      </c>
      <c r="L337" s="169">
        <v>2025</v>
      </c>
      <c r="M337" s="169">
        <v>2026</v>
      </c>
      <c r="N337" s="169">
        <v>2027</v>
      </c>
      <c r="O337" s="169">
        <v>2028</v>
      </c>
      <c r="P337" s="169">
        <v>2029</v>
      </c>
      <c r="Q337" s="169">
        <v>2030</v>
      </c>
    </row>
    <row r="338" spans="2:17" ht="46.8">
      <c r="B338" s="176" t="s">
        <v>15</v>
      </c>
      <c r="C338" s="171" t="str">
        <f>C12</f>
        <v>Նոր բիզնեսի խտություն (ՍՊԸ-ների թիվ` 15-64 տարեկան 1000 մարդու հաշվով)</v>
      </c>
      <c r="D338" s="172" t="s">
        <v>467</v>
      </c>
      <c r="E338" s="178">
        <f>E345/(E344/1000)</f>
        <v>3.1736788921652486</v>
      </c>
      <c r="F338" s="178">
        <f t="shared" ref="F338:J338" si="49">F345/(F344/1000)</f>
        <v>3.6029022302158649</v>
      </c>
      <c r="G338" s="178">
        <f t="shared" si="49"/>
        <v>3.0210887897995322</v>
      </c>
      <c r="H338" s="178">
        <f t="shared" si="49"/>
        <v>3.628438854532734</v>
      </c>
      <c r="I338" s="178">
        <f t="shared" si="49"/>
        <v>6.352183979795254</v>
      </c>
      <c r="J338" s="178">
        <f t="shared" si="49"/>
        <v>5.5025959144795555</v>
      </c>
      <c r="K338" s="179">
        <f>J338*((Q338/J338)^(1/7))^(K337-J337)</f>
        <v>5.8047711445993473</v>
      </c>
      <c r="L338" s="179">
        <f>J338*((Q338/J338)^(1/7))^(L337-J337)</f>
        <v>6.1235403371174444</v>
      </c>
      <c r="M338" s="179">
        <f>J338*((Q338/J338)^(1/7))^(M337-J337)</f>
        <v>6.4598147500081291</v>
      </c>
      <c r="N338" s="179">
        <f>J338*((Q338/J338)^(1/7))^(N337-J337)</f>
        <v>6.8145556830063949</v>
      </c>
      <c r="O338" s="179">
        <f>J338*((Q338/J338)^(1/7))^(O337-J337)</f>
        <v>7.1887772256528448</v>
      </c>
      <c r="P338" s="179">
        <f>J338*((Q338/J338)^(1/7))^(P337-J337)</f>
        <v>7.5835491562475363</v>
      </c>
      <c r="Q338" s="189">
        <v>8</v>
      </c>
    </row>
    <row r="340" spans="2:17">
      <c r="J340" s="217" t="s">
        <v>604</v>
      </c>
      <c r="K340" s="241">
        <f>K338-J338</f>
        <v>0.30217523011979175</v>
      </c>
      <c r="L340" s="241">
        <f t="shared" ref="L340:Q340" si="50">L338-K338</f>
        <v>0.3187691925180971</v>
      </c>
      <c r="M340" s="241">
        <f t="shared" si="50"/>
        <v>0.33627441289068472</v>
      </c>
      <c r="N340" s="241">
        <f t="shared" si="50"/>
        <v>0.35474093299826581</v>
      </c>
      <c r="O340" s="241">
        <f t="shared" si="50"/>
        <v>0.37422154264644991</v>
      </c>
      <c r="P340" s="241">
        <f t="shared" si="50"/>
        <v>0.39477193059469151</v>
      </c>
      <c r="Q340" s="241">
        <f t="shared" si="50"/>
        <v>0.41645084375246366</v>
      </c>
    </row>
    <row r="343" spans="2:17">
      <c r="C343" s="169"/>
      <c r="D343" s="169"/>
      <c r="E343" s="259">
        <v>2018</v>
      </c>
      <c r="F343" s="259">
        <v>2019</v>
      </c>
      <c r="G343" s="259">
        <v>2020</v>
      </c>
      <c r="H343" s="259">
        <v>2021</v>
      </c>
      <c r="I343" s="259">
        <v>2022</v>
      </c>
      <c r="J343" s="259">
        <v>2023</v>
      </c>
    </row>
    <row r="344" spans="2:17" ht="28.8">
      <c r="C344" s="170" t="s">
        <v>642</v>
      </c>
      <c r="D344" s="170"/>
      <c r="E344" s="260">
        <v>1933718</v>
      </c>
      <c r="F344" s="260">
        <v>1908739</v>
      </c>
      <c r="G344" s="260">
        <v>1886737</v>
      </c>
      <c r="H344" s="260">
        <v>1865265</v>
      </c>
      <c r="I344" s="260">
        <v>1845507</v>
      </c>
      <c r="J344" s="261">
        <v>1830954</v>
      </c>
    </row>
    <row r="345" spans="2:17" ht="28.8">
      <c r="C345" s="170" t="s">
        <v>643</v>
      </c>
      <c r="D345" s="170"/>
      <c r="E345" s="262">
        <v>6137</v>
      </c>
      <c r="F345" s="262">
        <v>6877</v>
      </c>
      <c r="G345" s="262">
        <v>5700</v>
      </c>
      <c r="H345" s="262">
        <v>6768</v>
      </c>
      <c r="I345" s="262">
        <v>11723</v>
      </c>
      <c r="J345" s="260">
        <v>10075</v>
      </c>
    </row>
    <row r="350" spans="2:17">
      <c r="C350" t="s">
        <v>644</v>
      </c>
    </row>
    <row r="351" spans="2:17">
      <c r="C351" s="169"/>
      <c r="D351" s="169"/>
      <c r="E351" s="169">
        <v>2018</v>
      </c>
      <c r="F351" s="169">
        <v>2019</v>
      </c>
      <c r="G351" s="169">
        <v>2020</v>
      </c>
      <c r="H351" s="169">
        <v>2021</v>
      </c>
      <c r="I351" s="169">
        <v>2022</v>
      </c>
    </row>
    <row r="352" spans="2:17">
      <c r="C352" s="169" t="s">
        <v>561</v>
      </c>
      <c r="D352" s="169"/>
      <c r="E352" s="184">
        <v>1.5325128495308153</v>
      </c>
      <c r="F352" s="184">
        <v>1.5470115019634352</v>
      </c>
      <c r="G352" s="184">
        <v>1.4348882379759802</v>
      </c>
      <c r="H352" s="184">
        <v>1.7370901421188494</v>
      </c>
      <c r="I352" s="184">
        <v>1.8041192895469382</v>
      </c>
    </row>
    <row r="353" spans="3:11">
      <c r="C353" s="169" t="s">
        <v>633</v>
      </c>
      <c r="D353" s="169"/>
      <c r="E353" s="184">
        <v>1.3677447429866139</v>
      </c>
      <c r="F353" s="184">
        <v>1.3786017297750393</v>
      </c>
      <c r="G353" s="184">
        <v>1.1530541770604001</v>
      </c>
      <c r="H353" s="184">
        <v>1.3170836297055111</v>
      </c>
      <c r="I353" s="184">
        <v>1.2858879064215631</v>
      </c>
    </row>
    <row r="354" spans="3:11">
      <c r="C354" s="169" t="s">
        <v>558</v>
      </c>
      <c r="D354" s="169"/>
      <c r="E354" s="184">
        <v>1.0723650704070256</v>
      </c>
      <c r="F354" s="184">
        <v>1.1173395124065484</v>
      </c>
      <c r="G354" s="184">
        <v>0.99758949438458699</v>
      </c>
      <c r="H354" s="184">
        <v>1.3523715829324403</v>
      </c>
      <c r="I354" s="184">
        <v>1.4807008372563797</v>
      </c>
      <c r="K354" s="204"/>
    </row>
    <row r="355" spans="3:11">
      <c r="C355" s="169" t="s">
        <v>527</v>
      </c>
      <c r="D355" s="169"/>
      <c r="E355" s="184">
        <v>10.207100297134572</v>
      </c>
      <c r="F355" s="184">
        <v>9.6542132475977596</v>
      </c>
      <c r="G355" s="184">
        <v>7.9444263621231554</v>
      </c>
      <c r="H355" s="184">
        <v>9.0424418983548485</v>
      </c>
      <c r="I355" s="184">
        <v>9.7214145826323879</v>
      </c>
      <c r="K355" s="308"/>
    </row>
    <row r="356" spans="3:11">
      <c r="C356" s="169" t="s">
        <v>536</v>
      </c>
      <c r="D356" s="169"/>
      <c r="E356" s="184">
        <v>5.8550340895600437</v>
      </c>
      <c r="F356" s="184">
        <v>5.5670725142296478</v>
      </c>
      <c r="G356" s="184">
        <v>4.4379352505285414</v>
      </c>
      <c r="H356" s="184">
        <v>5.5323031061354051</v>
      </c>
      <c r="I356" s="184">
        <v>6.2495279889779054</v>
      </c>
      <c r="K356" s="308"/>
    </row>
    <row r="357" spans="3:11">
      <c r="C357" s="169" t="s">
        <v>538</v>
      </c>
      <c r="D357" s="169"/>
      <c r="E357" s="184">
        <v>16.931964415598948</v>
      </c>
      <c r="F357" s="184">
        <v>14.832153313937766</v>
      </c>
      <c r="G357" s="184">
        <v>12.788531627115898</v>
      </c>
      <c r="H357" s="184"/>
      <c r="I357" s="184"/>
    </row>
    <row r="358" spans="3:11">
      <c r="C358" s="169" t="s">
        <v>528</v>
      </c>
      <c r="D358" s="169"/>
      <c r="E358" s="184">
        <v>4.401871608015191</v>
      </c>
      <c r="F358" s="184">
        <v>4.1898580608728482</v>
      </c>
      <c r="G358" s="184">
        <v>3.8085347824419871</v>
      </c>
      <c r="H358" s="184">
        <v>4.3074748529660027</v>
      </c>
      <c r="I358" s="184">
        <v>4.0637049163772208</v>
      </c>
    </row>
    <row r="359" spans="3:11">
      <c r="C359" s="169" t="s">
        <v>531</v>
      </c>
      <c r="D359" s="169"/>
      <c r="E359" s="184">
        <v>23.595952141022185</v>
      </c>
      <c r="F359" s="184">
        <v>24.739981012043856</v>
      </c>
      <c r="G359" s="184">
        <v>24.135335489355235</v>
      </c>
      <c r="H359" s="184">
        <v>29.41683807058471</v>
      </c>
      <c r="I359" s="184">
        <v>24.319064999923295</v>
      </c>
    </row>
    <row r="360" spans="3:11">
      <c r="C360" s="169" t="s">
        <v>568</v>
      </c>
      <c r="D360" s="169"/>
      <c r="E360" s="184">
        <v>10.509104917144494</v>
      </c>
      <c r="F360" s="184">
        <v>9.5005815668172229</v>
      </c>
      <c r="G360" s="184">
        <v>7.5348723858446878</v>
      </c>
      <c r="H360" s="184">
        <v>9.0846197973476102</v>
      </c>
      <c r="I360" s="184">
        <v>8.4986680533585126</v>
      </c>
    </row>
    <row r="361" spans="3:11">
      <c r="C361" s="169" t="s">
        <v>542</v>
      </c>
      <c r="D361" s="169"/>
      <c r="E361" s="184">
        <v>3.7743731065079129</v>
      </c>
      <c r="F361" s="184">
        <v>3.9748331552474605</v>
      </c>
      <c r="G361" s="184">
        <v>4.0420411201129562</v>
      </c>
      <c r="H361" s="184">
        <v>4.8770853800361955</v>
      </c>
      <c r="I361" s="184">
        <v>4.3166208888593403</v>
      </c>
    </row>
    <row r="362" spans="3:11">
      <c r="C362" s="169" t="s">
        <v>634</v>
      </c>
      <c r="D362" s="169"/>
      <c r="E362" s="184">
        <v>2.005741632029499</v>
      </c>
      <c r="F362" s="184">
        <v>2.8021241848710501</v>
      </c>
      <c r="G362" s="184">
        <v>3.4926147947844095</v>
      </c>
      <c r="H362" s="184"/>
      <c r="I362" s="184"/>
    </row>
    <row r="363" spans="3:11">
      <c r="C363" s="169" t="s">
        <v>635</v>
      </c>
      <c r="D363" s="169"/>
      <c r="E363" s="184">
        <v>4.4464217365153376</v>
      </c>
      <c r="F363" s="184">
        <v>4.6346932306093898</v>
      </c>
      <c r="G363" s="184">
        <v>4.7613505131576881</v>
      </c>
      <c r="H363" s="184">
        <v>5.6296564314260813</v>
      </c>
      <c r="I363" s="184">
        <v>6.008768658262678</v>
      </c>
    </row>
    <row r="364" spans="3:11">
      <c r="C364" s="169" t="s">
        <v>539</v>
      </c>
      <c r="D364" s="169"/>
      <c r="E364" s="184">
        <v>8.0928507858753331</v>
      </c>
      <c r="F364" s="184">
        <v>7.9506444584329872</v>
      </c>
      <c r="G364" s="184">
        <v>6.9053141913777614</v>
      </c>
      <c r="H364" s="184">
        <v>7.2141177544917019</v>
      </c>
      <c r="I364" s="184">
        <v>6.7269710050496823</v>
      </c>
    </row>
    <row r="365" spans="3:11">
      <c r="C365" s="169" t="s">
        <v>540</v>
      </c>
      <c r="D365" s="169"/>
      <c r="E365" s="184">
        <v>3.325610818093689</v>
      </c>
      <c r="F365" s="184">
        <v>3.2611563114329769</v>
      </c>
      <c r="G365" s="184">
        <v>2.9423575244484672</v>
      </c>
      <c r="H365" s="184">
        <v>3.2658756298970766</v>
      </c>
      <c r="I365" s="184">
        <v>2.9474107653984807</v>
      </c>
    </row>
    <row r="366" spans="3:11">
      <c r="C366" s="169" t="s">
        <v>570</v>
      </c>
      <c r="D366" s="169"/>
      <c r="E366" s="184">
        <v>2.6283879997203035</v>
      </c>
      <c r="F366" s="184">
        <v>2.7800291511155137</v>
      </c>
      <c r="G366" s="184">
        <v>2.7279704771965796</v>
      </c>
      <c r="H366" s="184">
        <v>3.3421289131477168</v>
      </c>
      <c r="I366" s="184">
        <v>3.097597979980983</v>
      </c>
    </row>
    <row r="367" spans="3:11">
      <c r="C367" s="169" t="s">
        <v>637</v>
      </c>
      <c r="D367" s="169"/>
      <c r="E367" s="184">
        <v>3.6407473716261984</v>
      </c>
      <c r="F367" s="184">
        <v>3.932751201192985</v>
      </c>
      <c r="G367" s="184">
        <v>3.6633097352403992</v>
      </c>
      <c r="H367" s="184">
        <v>4.5185288387016831</v>
      </c>
      <c r="I367" s="184">
        <v>4.5572380801632111</v>
      </c>
    </row>
    <row r="368" spans="3:11">
      <c r="C368" s="169" t="s">
        <v>546</v>
      </c>
      <c r="D368" s="169"/>
      <c r="E368" s="184">
        <v>1.4535772324756626</v>
      </c>
      <c r="F368" s="184">
        <v>1.5997704856938169</v>
      </c>
      <c r="G368" s="184">
        <v>1.677433599446851</v>
      </c>
      <c r="H368" s="184">
        <v>2.1734605007104748</v>
      </c>
      <c r="I368" s="184">
        <v>2.1571850905126624</v>
      </c>
    </row>
    <row r="369" spans="1:19">
      <c r="C369" s="169" t="s">
        <v>549</v>
      </c>
      <c r="D369" s="169"/>
      <c r="E369" s="184">
        <v>7.3214707856271266</v>
      </c>
      <c r="F369" s="184">
        <v>7.4579990811635701</v>
      </c>
      <c r="G369" s="184">
        <v>6.2339047818920319</v>
      </c>
      <c r="H369" s="184">
        <v>8.2829999384115744</v>
      </c>
      <c r="I369" s="184">
        <v>9.1842398119153845</v>
      </c>
    </row>
    <row r="370" spans="1:19">
      <c r="C370" s="169" t="s">
        <v>638</v>
      </c>
      <c r="D370" s="169"/>
      <c r="E370" s="184">
        <v>3.2384626395863085</v>
      </c>
      <c r="F370" s="184">
        <v>2.8942780412517339</v>
      </c>
      <c r="G370" s="184">
        <v>2.2257748906408579</v>
      </c>
      <c r="H370" s="184">
        <v>2.3183294563840646</v>
      </c>
      <c r="I370" s="184">
        <v>2.5189020047729218</v>
      </c>
    </row>
    <row r="371" spans="1:19">
      <c r="C371" s="169" t="s">
        <v>562</v>
      </c>
      <c r="D371" s="169"/>
      <c r="E371" s="184">
        <v>1.8897145412520082</v>
      </c>
      <c r="F371" s="184">
        <v>1.9833332195764324</v>
      </c>
      <c r="G371" s="184">
        <v>2.0037377286921756</v>
      </c>
      <c r="H371" s="184">
        <v>2.1332034535479081</v>
      </c>
      <c r="I371" s="184">
        <v>2.5281780347068099</v>
      </c>
    </row>
    <row r="372" spans="1:19">
      <c r="C372" s="169" t="s">
        <v>571</v>
      </c>
      <c r="D372" s="169"/>
      <c r="E372" s="184">
        <v>5.2836800109300892</v>
      </c>
      <c r="F372" s="184">
        <v>5.5536397727668581</v>
      </c>
      <c r="G372" s="184">
        <v>5.1607353170428327</v>
      </c>
      <c r="H372" s="184">
        <v>5.2844780977525527</v>
      </c>
      <c r="I372" s="184">
        <v>5.4820736056283534</v>
      </c>
    </row>
    <row r="373" spans="1:19">
      <c r="C373" s="169" t="s">
        <v>550</v>
      </c>
      <c r="D373" s="169"/>
      <c r="E373" s="184">
        <v>3.024889596671593</v>
      </c>
      <c r="F373" s="184">
        <v>2.8756887756227476</v>
      </c>
      <c r="G373" s="184">
        <v>2.6209573662503032</v>
      </c>
      <c r="H373" s="184">
        <v>2.6502542193478145</v>
      </c>
      <c r="I373" s="184">
        <v>2.7596602947198496</v>
      </c>
    </row>
    <row r="374" spans="1:19">
      <c r="C374" s="169" t="s">
        <v>639</v>
      </c>
      <c r="D374" s="169"/>
      <c r="E374" s="184">
        <v>0.15085771049915203</v>
      </c>
      <c r="F374" s="184"/>
      <c r="G374" s="184"/>
      <c r="H374" s="184"/>
      <c r="I374" s="184"/>
    </row>
    <row r="375" spans="1:19">
      <c r="C375" s="169" t="s">
        <v>641</v>
      </c>
      <c r="D375" s="169"/>
      <c r="E375" s="184">
        <v>1.6390020312985707</v>
      </c>
      <c r="F375" s="184">
        <v>2.7510703407076713</v>
      </c>
      <c r="G375" s="184">
        <v>2.756528503703394</v>
      </c>
      <c r="H375" s="184"/>
      <c r="I375" s="184"/>
    </row>
    <row r="379" spans="1:19" ht="15" thickBot="1">
      <c r="A379" s="198" t="s">
        <v>645</v>
      </c>
      <c r="B379" s="199"/>
      <c r="C379" s="199"/>
      <c r="D379" s="199"/>
      <c r="E379" s="199"/>
      <c r="F379" s="199"/>
      <c r="G379" s="199"/>
      <c r="H379" s="199"/>
      <c r="I379" s="199"/>
      <c r="J379" s="199"/>
      <c r="K379" s="199"/>
      <c r="L379" s="199"/>
      <c r="M379" s="199"/>
      <c r="N379" s="199"/>
      <c r="O379" s="199"/>
      <c r="P379" s="199"/>
      <c r="Q379" s="199"/>
      <c r="R379" s="199"/>
      <c r="S379" s="199"/>
    </row>
    <row r="381" spans="1:19">
      <c r="E381" s="169">
        <v>2018</v>
      </c>
      <c r="F381" s="169">
        <v>2019</v>
      </c>
      <c r="G381" s="169">
        <v>2020</v>
      </c>
      <c r="H381" s="169">
        <v>2021</v>
      </c>
      <c r="I381" s="169">
        <v>2022</v>
      </c>
      <c r="J381" s="169">
        <v>2023</v>
      </c>
      <c r="K381" s="169">
        <v>2024</v>
      </c>
      <c r="L381" s="169">
        <v>2025</v>
      </c>
      <c r="M381" s="169">
        <v>2026</v>
      </c>
      <c r="N381" s="169">
        <v>2027</v>
      </c>
      <c r="O381" s="169">
        <v>2028</v>
      </c>
      <c r="P381" s="169">
        <v>2029</v>
      </c>
      <c r="Q381" s="169">
        <v>2030</v>
      </c>
    </row>
    <row r="382" spans="1:19" ht="31.2">
      <c r="B382" s="176" t="s">
        <v>17</v>
      </c>
      <c r="C382" s="171" t="str">
        <f>C13</f>
        <v>Կանանց մասնաբաժին` գործատուների կազմում (%)</v>
      </c>
      <c r="D382" s="172" t="s">
        <v>453</v>
      </c>
      <c r="E382" s="178">
        <f>E391/E390*100</f>
        <v>14.968791796700847</v>
      </c>
      <c r="F382" s="178">
        <f>F391/F390*100</f>
        <v>14.484290701364646</v>
      </c>
      <c r="G382" s="178">
        <f>G391/G390*100</f>
        <v>24.347130282970831</v>
      </c>
      <c r="H382" s="178">
        <f>H391/H390*100</f>
        <v>20.783091721988892</v>
      </c>
      <c r="I382" s="178">
        <f>I391/I390*100</f>
        <v>17.661851257356876</v>
      </c>
      <c r="J382" s="179">
        <f>I382*((Q382/I382)^(1/8))^(J381-I381)</f>
        <v>18.445872234458012</v>
      </c>
      <c r="K382" s="179">
        <f>I382*((Q382/I382)^(1/8))^(K381-I381)</f>
        <v>19.264696408776576</v>
      </c>
      <c r="L382" s="179">
        <f>I382*((Q382/I382)^(1/8))^(L381-I381)</f>
        <v>20.119868716700662</v>
      </c>
      <c r="M382" s="179">
        <f>I382*((Q382/I382)^(1/8))^(M381-I381)</f>
        <v>21.013002675341806</v>
      </c>
      <c r="N382" s="179">
        <f>I382*((Q382/I382)^(1/8))^(N381-I381)</f>
        <v>21.945783426877576</v>
      </c>
      <c r="O382" s="179">
        <f>I382*((Q382/I382)^(1/8))^(O381-I381)</f>
        <v>22.919970918034451</v>
      </c>
      <c r="P382" s="179">
        <f>I382*((Q382/I382)^(1/8))^(P381-I381)</f>
        <v>23.937403220710081</v>
      </c>
      <c r="Q382" s="179">
        <v>25</v>
      </c>
    </row>
    <row r="383" spans="1:19" ht="46.8">
      <c r="B383" s="176" t="s">
        <v>646</v>
      </c>
      <c r="C383" s="171" t="str">
        <f>C14</f>
        <v>Երիտասարդների (20-29 տարեկան) մասնաբաժին` գործատուների կազմում (%)</v>
      </c>
      <c r="D383" s="172" t="s">
        <v>453</v>
      </c>
      <c r="E383" s="178">
        <f>E392/E390*100</f>
        <v>13.007133303611235</v>
      </c>
      <c r="F383" s="178">
        <f>F392/F390*100</f>
        <v>13.341796255157092</v>
      </c>
      <c r="G383" s="178">
        <f>G392/G390*100</f>
        <v>18.680439368589511</v>
      </c>
      <c r="H383" s="178">
        <f>H392/H390*100</f>
        <v>15.140224901774827</v>
      </c>
      <c r="I383" s="178">
        <f>I392/I390*100</f>
        <v>7.8544676297485276</v>
      </c>
      <c r="J383" s="179">
        <f>I383*((Q383/I383)^(1/8))^(J381-I381)</f>
        <v>8.8278695996934999</v>
      </c>
      <c r="K383" s="179">
        <f>I383*((Q383/I383)^(1/8))^(K381-I381)</f>
        <v>9.9219050027057971</v>
      </c>
      <c r="L383" s="179">
        <f>I383*((Q383/I383)^(1/8))^(L381-I381)</f>
        <v>11.151523906304218</v>
      </c>
      <c r="M383" s="179">
        <f>I383*((Q383/I383)^(1/8))^(M381-I381)</f>
        <v>12.533529135681237</v>
      </c>
      <c r="N383" s="179">
        <f>I383*((Q383/I383)^(1/8))^(N381-I381)</f>
        <v>14.086805885441731</v>
      </c>
      <c r="O383" s="179">
        <f>I383*((Q383/I383)^(1/8))^(O381-I381)</f>
        <v>15.832579787060114</v>
      </c>
      <c r="P383" s="179">
        <f>I383*((Q383/I383)^(1/8))^(P381-I381)</f>
        <v>17.794706958565008</v>
      </c>
      <c r="Q383" s="189">
        <v>20</v>
      </c>
    </row>
    <row r="385" spans="3:17">
      <c r="I385" s="217" t="s">
        <v>564</v>
      </c>
      <c r="J385" s="241">
        <f>J382-I382</f>
        <v>0.78402097710113594</v>
      </c>
      <c r="K385" s="241">
        <f t="shared" ref="K385:Q386" si="51">K382-J382</f>
        <v>0.81882417431856425</v>
      </c>
      <c r="L385" s="241">
        <f t="shared" si="51"/>
        <v>0.85517230792408583</v>
      </c>
      <c r="M385" s="241">
        <f t="shared" si="51"/>
        <v>0.89313395864114398</v>
      </c>
      <c r="N385" s="241">
        <f t="shared" si="51"/>
        <v>0.93278075153576978</v>
      </c>
      <c r="O385" s="241">
        <f t="shared" si="51"/>
        <v>0.97418749115687575</v>
      </c>
      <c r="P385" s="241">
        <f t="shared" si="51"/>
        <v>1.0174323026756298</v>
      </c>
      <c r="Q385" s="241">
        <f t="shared" si="51"/>
        <v>1.0625967792899189</v>
      </c>
    </row>
    <row r="386" spans="3:17">
      <c r="I386" s="217" t="s">
        <v>564</v>
      </c>
      <c r="J386" s="241">
        <f>J383-I383</f>
        <v>0.9734019699449723</v>
      </c>
      <c r="K386" s="241">
        <f t="shared" si="51"/>
        <v>1.0940354030122972</v>
      </c>
      <c r="L386" s="241">
        <f t="shared" si="51"/>
        <v>1.2296189035984213</v>
      </c>
      <c r="M386" s="241">
        <f t="shared" si="51"/>
        <v>1.3820052293770182</v>
      </c>
      <c r="N386" s="241">
        <f t="shared" si="51"/>
        <v>1.553276749760494</v>
      </c>
      <c r="O386" s="241">
        <f t="shared" si="51"/>
        <v>1.7457739016183833</v>
      </c>
      <c r="P386" s="241">
        <f t="shared" si="51"/>
        <v>1.9621271715048945</v>
      </c>
      <c r="Q386" s="241">
        <f t="shared" si="51"/>
        <v>2.2052930414349916</v>
      </c>
    </row>
    <row r="388" spans="3:17">
      <c r="C388" t="s">
        <v>647</v>
      </c>
    </row>
    <row r="389" spans="3:17">
      <c r="C389" s="169"/>
      <c r="D389" s="169"/>
      <c r="E389" s="169">
        <v>2018</v>
      </c>
      <c r="F389" s="169">
        <v>2019</v>
      </c>
      <c r="G389" s="169">
        <v>2020</v>
      </c>
      <c r="H389" s="169">
        <v>2021</v>
      </c>
      <c r="I389" s="169">
        <v>2022</v>
      </c>
      <c r="J389" s="169">
        <v>2023</v>
      </c>
    </row>
    <row r="390" spans="3:17">
      <c r="C390" s="375" t="s">
        <v>648</v>
      </c>
      <c r="D390" s="375"/>
      <c r="E390" s="173">
        <v>8972</v>
      </c>
      <c r="F390" s="173">
        <v>15755</v>
      </c>
      <c r="G390" s="173">
        <v>13747</v>
      </c>
      <c r="H390" s="173">
        <v>14762</v>
      </c>
      <c r="I390" s="173">
        <v>18690</v>
      </c>
      <c r="J390" s="173"/>
    </row>
    <row r="391" spans="3:17">
      <c r="C391" s="375" t="s">
        <v>649</v>
      </c>
      <c r="D391" s="375"/>
      <c r="E391" s="173">
        <v>1343</v>
      </c>
      <c r="F391" s="173">
        <v>2282</v>
      </c>
      <c r="G391" s="173">
        <v>3347</v>
      </c>
      <c r="H391" s="173">
        <v>3068</v>
      </c>
      <c r="I391" s="173">
        <v>3301</v>
      </c>
      <c r="J391" s="173"/>
    </row>
    <row r="392" spans="3:17">
      <c r="C392" s="375" t="s">
        <v>650</v>
      </c>
      <c r="D392" s="375"/>
      <c r="E392" s="173">
        <v>1167</v>
      </c>
      <c r="F392" s="173">
        <v>2102</v>
      </c>
      <c r="G392" s="173">
        <v>2568</v>
      </c>
      <c r="H392" s="173">
        <v>2235</v>
      </c>
      <c r="I392" s="173">
        <v>1468</v>
      </c>
      <c r="J392" s="173"/>
    </row>
    <row r="395" spans="3:17">
      <c r="C395" s="263" t="s">
        <v>651</v>
      </c>
    </row>
    <row r="396" spans="3:17">
      <c r="C396" s="264"/>
      <c r="D396" s="264"/>
      <c r="E396" s="264"/>
      <c r="F396" s="264">
        <v>2019</v>
      </c>
      <c r="G396" s="264">
        <v>2020</v>
      </c>
      <c r="H396" s="264">
        <v>2021</v>
      </c>
      <c r="I396" s="264">
        <v>2022</v>
      </c>
    </row>
    <row r="397" spans="3:17">
      <c r="C397" s="265" t="s">
        <v>561</v>
      </c>
      <c r="D397" s="265"/>
      <c r="F397" s="220">
        <v>16.100000000000001</v>
      </c>
      <c r="G397" s="220">
        <v>16.3</v>
      </c>
      <c r="H397" s="220">
        <v>15.4</v>
      </c>
      <c r="I397" s="220" t="s">
        <v>54</v>
      </c>
    </row>
    <row r="398" spans="3:17">
      <c r="C398" s="265" t="s">
        <v>633</v>
      </c>
      <c r="D398" s="265"/>
      <c r="F398" s="220">
        <v>36.700000000000003</v>
      </c>
      <c r="G398" s="220">
        <v>28</v>
      </c>
      <c r="H398" s="220">
        <v>27.7</v>
      </c>
      <c r="I398" s="220" t="s">
        <v>54</v>
      </c>
    </row>
    <row r="399" spans="3:17">
      <c r="C399" s="265" t="s">
        <v>526</v>
      </c>
      <c r="D399" s="265"/>
      <c r="F399" s="220">
        <v>26.9</v>
      </c>
      <c r="G399" s="220">
        <v>26</v>
      </c>
      <c r="H399" s="220">
        <v>28</v>
      </c>
      <c r="I399" s="220">
        <v>29.5</v>
      </c>
    </row>
    <row r="400" spans="3:17">
      <c r="C400" s="265" t="s">
        <v>558</v>
      </c>
      <c r="D400" s="265"/>
      <c r="F400" s="220">
        <v>26.7</v>
      </c>
      <c r="G400" s="220">
        <v>38.299999999999997</v>
      </c>
      <c r="H400" s="220">
        <v>25.9</v>
      </c>
      <c r="I400" s="220" t="s">
        <v>54</v>
      </c>
    </row>
    <row r="401" spans="3:9">
      <c r="C401" s="265" t="s">
        <v>527</v>
      </c>
      <c r="D401" s="265"/>
      <c r="F401" s="220">
        <v>27.8</v>
      </c>
      <c r="G401" s="220">
        <v>27.2</v>
      </c>
      <c r="H401" s="220">
        <v>29.2</v>
      </c>
      <c r="I401" s="220">
        <v>29.7</v>
      </c>
    </row>
    <row r="402" spans="3:9">
      <c r="C402" s="265" t="s">
        <v>652</v>
      </c>
      <c r="D402" s="265"/>
      <c r="F402" s="220">
        <v>28</v>
      </c>
      <c r="G402" s="220">
        <v>27.1</v>
      </c>
      <c r="H402" s="220">
        <v>27.3</v>
      </c>
      <c r="I402" s="220">
        <v>26.4</v>
      </c>
    </row>
    <row r="403" spans="3:9">
      <c r="C403" s="265" t="s">
        <v>536</v>
      </c>
      <c r="D403" s="265"/>
      <c r="F403" s="220">
        <v>28.6</v>
      </c>
      <c r="G403" s="220">
        <v>25.3</v>
      </c>
      <c r="H403" s="220">
        <v>25.1</v>
      </c>
      <c r="I403" s="220">
        <v>29.3</v>
      </c>
    </row>
    <row r="404" spans="3:9">
      <c r="C404" s="265" t="s">
        <v>538</v>
      </c>
      <c r="D404" s="265"/>
      <c r="F404" s="220">
        <v>28.4</v>
      </c>
      <c r="G404" s="220">
        <v>20</v>
      </c>
      <c r="H404" s="220">
        <v>23.8</v>
      </c>
      <c r="I404" s="220">
        <v>33.299999999999997</v>
      </c>
    </row>
    <row r="405" spans="3:9">
      <c r="C405" s="265" t="s">
        <v>528</v>
      </c>
      <c r="D405" s="265"/>
      <c r="F405" s="220">
        <v>26.2</v>
      </c>
      <c r="G405" s="220">
        <v>22.2</v>
      </c>
      <c r="H405" s="220">
        <v>23.8</v>
      </c>
      <c r="I405" s="220">
        <v>26</v>
      </c>
    </row>
    <row r="406" spans="3:9">
      <c r="C406" s="265" t="s">
        <v>529</v>
      </c>
      <c r="D406" s="265"/>
      <c r="F406" s="220">
        <v>23.3</v>
      </c>
      <c r="G406" s="220">
        <v>20.9</v>
      </c>
      <c r="H406" s="220">
        <v>23.7</v>
      </c>
      <c r="I406" s="220">
        <v>22</v>
      </c>
    </row>
    <row r="407" spans="3:9">
      <c r="C407" s="265" t="s">
        <v>531</v>
      </c>
      <c r="D407" s="265"/>
      <c r="F407" s="220">
        <v>22.8</v>
      </c>
      <c r="G407" s="220">
        <v>19.5</v>
      </c>
      <c r="H407" s="220">
        <v>21.5</v>
      </c>
      <c r="I407" s="220">
        <v>24.6</v>
      </c>
    </row>
    <row r="408" spans="3:9">
      <c r="C408" s="265" t="s">
        <v>552</v>
      </c>
      <c r="D408" s="265"/>
      <c r="F408" s="220">
        <v>25.4</v>
      </c>
      <c r="G408" s="220">
        <v>24.2</v>
      </c>
      <c r="H408" s="220">
        <v>21.8</v>
      </c>
      <c r="I408" s="220">
        <v>20.8</v>
      </c>
    </row>
    <row r="409" spans="3:9">
      <c r="C409" s="265" t="s">
        <v>535</v>
      </c>
      <c r="D409" s="265"/>
      <c r="F409" s="220">
        <v>25.2</v>
      </c>
      <c r="G409" s="220">
        <v>27</v>
      </c>
      <c r="H409" s="220">
        <v>28.3</v>
      </c>
      <c r="I409" s="220">
        <v>29.3</v>
      </c>
    </row>
    <row r="410" spans="3:9">
      <c r="C410" s="265" t="s">
        <v>568</v>
      </c>
      <c r="D410" s="265"/>
      <c r="F410" s="220">
        <v>27.1</v>
      </c>
      <c r="G410" s="220">
        <v>25.9</v>
      </c>
      <c r="H410" s="220">
        <v>19.8</v>
      </c>
      <c r="I410" s="220" t="s">
        <v>54</v>
      </c>
    </row>
    <row r="411" spans="3:9">
      <c r="C411" s="265" t="s">
        <v>530</v>
      </c>
      <c r="D411" s="265"/>
      <c r="F411" s="220">
        <v>25.3</v>
      </c>
      <c r="G411" s="220">
        <v>24.8</v>
      </c>
      <c r="H411" s="220">
        <v>25.2</v>
      </c>
      <c r="I411" s="220">
        <v>26.5</v>
      </c>
    </row>
    <row r="412" spans="3:9">
      <c r="C412" s="265" t="s">
        <v>533</v>
      </c>
      <c r="D412" s="265"/>
      <c r="F412" s="220">
        <v>27.1</v>
      </c>
      <c r="G412" s="220">
        <v>28.1</v>
      </c>
      <c r="H412" s="220">
        <v>28.3</v>
      </c>
      <c r="I412" s="220">
        <v>26.4</v>
      </c>
    </row>
    <row r="413" spans="3:9">
      <c r="C413" s="265" t="s">
        <v>542</v>
      </c>
      <c r="D413" s="265"/>
      <c r="F413" s="220">
        <v>29.5</v>
      </c>
      <c r="G413" s="220">
        <v>30.8</v>
      </c>
      <c r="H413" s="220">
        <v>27.9</v>
      </c>
      <c r="I413" s="220">
        <v>28.6</v>
      </c>
    </row>
    <row r="414" spans="3:9">
      <c r="C414" s="265" t="s">
        <v>554</v>
      </c>
      <c r="D414" s="265"/>
      <c r="F414" s="220">
        <v>21.4</v>
      </c>
      <c r="G414" s="220">
        <v>21.4</v>
      </c>
      <c r="H414" s="220">
        <v>21.5</v>
      </c>
      <c r="I414" s="220">
        <v>22.4</v>
      </c>
    </row>
    <row r="415" spans="3:9">
      <c r="C415" s="265" t="s">
        <v>532</v>
      </c>
      <c r="D415" s="265"/>
      <c r="F415" s="220">
        <v>23.2</v>
      </c>
      <c r="G415" s="220">
        <v>26.3</v>
      </c>
      <c r="H415" s="220">
        <v>24.6</v>
      </c>
      <c r="I415" s="220">
        <v>22.2</v>
      </c>
    </row>
    <row r="416" spans="3:9">
      <c r="C416" s="265" t="s">
        <v>653</v>
      </c>
      <c r="D416" s="265"/>
      <c r="F416" s="220">
        <v>19.899999999999999</v>
      </c>
      <c r="G416" s="220">
        <v>19.600000000000001</v>
      </c>
      <c r="H416" s="220">
        <v>20.9</v>
      </c>
      <c r="I416" s="220" t="s">
        <v>54</v>
      </c>
    </row>
    <row r="417" spans="3:9">
      <c r="C417" s="265" t="s">
        <v>537</v>
      </c>
      <c r="D417" s="265"/>
      <c r="F417" s="220">
        <v>26</v>
      </c>
      <c r="G417" s="220">
        <v>25</v>
      </c>
      <c r="H417" s="220">
        <v>25.9</v>
      </c>
      <c r="I417" s="220">
        <v>25.6</v>
      </c>
    </row>
    <row r="418" spans="3:9">
      <c r="C418" s="265" t="s">
        <v>634</v>
      </c>
      <c r="D418" s="265"/>
      <c r="F418" s="220">
        <v>33.799999999999997</v>
      </c>
      <c r="G418" s="220">
        <v>33.4</v>
      </c>
      <c r="H418" s="220">
        <v>34.299999999999997</v>
      </c>
      <c r="I418" s="220" t="s">
        <v>54</v>
      </c>
    </row>
    <row r="419" spans="3:9">
      <c r="C419" s="265" t="s">
        <v>654</v>
      </c>
      <c r="D419" s="265"/>
      <c r="F419" s="220">
        <v>22.6</v>
      </c>
      <c r="G419" s="220">
        <v>19.399999999999999</v>
      </c>
      <c r="H419" s="220">
        <v>17.8</v>
      </c>
      <c r="I419" s="220" t="s">
        <v>54</v>
      </c>
    </row>
    <row r="420" spans="3:9">
      <c r="C420" s="265" t="s">
        <v>539</v>
      </c>
      <c r="D420" s="265"/>
      <c r="F420" s="220">
        <v>34.9</v>
      </c>
      <c r="G420" s="220">
        <v>38</v>
      </c>
      <c r="H420" s="220">
        <v>31.2</v>
      </c>
      <c r="I420" s="220">
        <v>29.2</v>
      </c>
    </row>
    <row r="421" spans="3:9">
      <c r="C421" s="265" t="s">
        <v>655</v>
      </c>
      <c r="D421" s="265"/>
      <c r="F421" s="220" t="s">
        <v>54</v>
      </c>
      <c r="G421" s="220">
        <v>24.4</v>
      </c>
      <c r="H421" s="220" t="s">
        <v>54</v>
      </c>
      <c r="I421" s="220" t="s">
        <v>54</v>
      </c>
    </row>
    <row r="422" spans="3:9">
      <c r="C422" s="265" t="s">
        <v>540</v>
      </c>
      <c r="D422" s="265"/>
      <c r="F422" s="220">
        <v>26</v>
      </c>
      <c r="G422" s="220">
        <v>25.5</v>
      </c>
      <c r="H422" s="220">
        <v>35.700000000000003</v>
      </c>
      <c r="I422" s="220">
        <v>33.700000000000003</v>
      </c>
    </row>
    <row r="423" spans="3:9">
      <c r="C423" s="265" t="s">
        <v>541</v>
      </c>
      <c r="D423" s="265"/>
      <c r="F423" s="220">
        <v>27.4</v>
      </c>
      <c r="G423" s="220">
        <v>28.3</v>
      </c>
      <c r="H423" s="220">
        <v>31.1</v>
      </c>
      <c r="I423" s="220">
        <v>33.299999999999997</v>
      </c>
    </row>
    <row r="424" spans="3:9">
      <c r="C424" s="265" t="s">
        <v>543</v>
      </c>
      <c r="D424" s="265"/>
      <c r="F424" s="220">
        <v>22.3</v>
      </c>
      <c r="G424" s="220">
        <v>18.399999999999999</v>
      </c>
      <c r="H424" s="220">
        <v>19</v>
      </c>
      <c r="I424" s="220">
        <v>20.2</v>
      </c>
    </row>
    <row r="425" spans="3:9">
      <c r="C425" s="265" t="s">
        <v>559</v>
      </c>
      <c r="D425" s="265"/>
      <c r="F425" s="220">
        <v>28.2</v>
      </c>
      <c r="G425" s="220">
        <v>29.6</v>
      </c>
      <c r="H425" s="220" t="s">
        <v>54</v>
      </c>
      <c r="I425" s="220" t="s">
        <v>54</v>
      </c>
    </row>
    <row r="426" spans="3:9">
      <c r="C426" s="265" t="s">
        <v>544</v>
      </c>
      <c r="D426" s="265"/>
      <c r="F426" s="220">
        <v>26.5</v>
      </c>
      <c r="G426" s="220">
        <v>24.7</v>
      </c>
      <c r="H426" s="220">
        <v>22.4</v>
      </c>
      <c r="I426" s="220">
        <v>26.1</v>
      </c>
    </row>
    <row r="427" spans="3:9">
      <c r="C427" s="265" t="s">
        <v>560</v>
      </c>
      <c r="D427" s="265"/>
      <c r="F427" s="220">
        <v>26.7</v>
      </c>
      <c r="G427" s="220">
        <v>21.1</v>
      </c>
      <c r="H427" s="220" t="s">
        <v>54</v>
      </c>
      <c r="I427" s="220" t="s">
        <v>54</v>
      </c>
    </row>
    <row r="428" spans="3:9">
      <c r="C428" s="265" t="s">
        <v>555</v>
      </c>
      <c r="D428" s="265"/>
      <c r="F428" s="220">
        <v>22.9</v>
      </c>
      <c r="G428" s="220">
        <v>23</v>
      </c>
      <c r="H428" s="220">
        <v>27.2</v>
      </c>
      <c r="I428" s="220">
        <v>29.9</v>
      </c>
    </row>
    <row r="429" spans="3:9">
      <c r="C429" s="265" t="s">
        <v>546</v>
      </c>
      <c r="D429" s="265"/>
      <c r="F429" s="220">
        <v>29.8</v>
      </c>
      <c r="G429" s="220">
        <v>29.8</v>
      </c>
      <c r="H429" s="220">
        <v>30.7</v>
      </c>
      <c r="I429" s="220">
        <v>30.9</v>
      </c>
    </row>
    <row r="430" spans="3:9">
      <c r="C430" s="265" t="s">
        <v>547</v>
      </c>
      <c r="D430" s="265"/>
      <c r="F430" s="220">
        <v>32.1</v>
      </c>
      <c r="G430" s="220">
        <v>31.5</v>
      </c>
      <c r="H430" s="220">
        <v>30.9</v>
      </c>
      <c r="I430" s="220">
        <v>28.2</v>
      </c>
    </row>
    <row r="431" spans="3:9">
      <c r="C431" s="265" t="s">
        <v>656</v>
      </c>
      <c r="D431" s="265"/>
      <c r="F431" s="220">
        <v>24.5</v>
      </c>
      <c r="G431" s="220">
        <v>36.5</v>
      </c>
      <c r="H431" s="220">
        <v>41.2</v>
      </c>
      <c r="I431" s="220" t="s">
        <v>54</v>
      </c>
    </row>
    <row r="432" spans="3:9">
      <c r="C432" s="265" t="s">
        <v>549</v>
      </c>
      <c r="D432" s="265"/>
      <c r="F432" s="220">
        <v>23.1</v>
      </c>
      <c r="G432" s="220">
        <v>23.9</v>
      </c>
      <c r="H432" s="220">
        <v>24.6</v>
      </c>
      <c r="I432" s="220">
        <v>24.4</v>
      </c>
    </row>
    <row r="433" spans="1:19">
      <c r="C433" s="265" t="s">
        <v>562</v>
      </c>
      <c r="D433" s="265"/>
      <c r="F433" s="220">
        <v>29.4</v>
      </c>
      <c r="G433" s="220">
        <v>29.8</v>
      </c>
      <c r="H433" s="220">
        <v>27.3</v>
      </c>
      <c r="I433" s="220">
        <v>25.5</v>
      </c>
    </row>
    <row r="434" spans="1:19">
      <c r="C434" s="265" t="s">
        <v>551</v>
      </c>
      <c r="D434" s="265"/>
      <c r="F434" s="220">
        <v>26.2</v>
      </c>
      <c r="G434" s="220">
        <v>24.4</v>
      </c>
      <c r="H434" s="220">
        <v>24.8</v>
      </c>
      <c r="I434" s="220">
        <v>29.4</v>
      </c>
    </row>
    <row r="435" spans="1:19">
      <c r="C435" s="265" t="s">
        <v>550</v>
      </c>
      <c r="D435" s="265"/>
      <c r="F435" s="220">
        <v>24.6</v>
      </c>
      <c r="G435" s="220">
        <v>25.1</v>
      </c>
      <c r="H435" s="220">
        <v>23.5</v>
      </c>
      <c r="I435" s="220">
        <v>23.4</v>
      </c>
    </row>
    <row r="436" spans="1:19">
      <c r="C436" s="265" t="s">
        <v>534</v>
      </c>
      <c r="D436" s="265"/>
      <c r="F436" s="220">
        <v>30.2</v>
      </c>
      <c r="G436" s="220">
        <v>30</v>
      </c>
      <c r="H436" s="220">
        <v>30.3</v>
      </c>
      <c r="I436" s="220">
        <v>31.5</v>
      </c>
    </row>
    <row r="437" spans="1:19">
      <c r="C437" s="265" t="s">
        <v>553</v>
      </c>
      <c r="D437" s="265"/>
      <c r="F437" s="220">
        <v>19.7</v>
      </c>
      <c r="G437" s="220">
        <v>20.5</v>
      </c>
      <c r="H437" s="220">
        <v>20.8</v>
      </c>
      <c r="I437" s="220">
        <v>21.3</v>
      </c>
    </row>
    <row r="438" spans="1:19">
      <c r="C438" s="265" t="s">
        <v>556</v>
      </c>
      <c r="D438" s="265"/>
      <c r="F438" s="220">
        <v>25.7</v>
      </c>
      <c r="G438" s="220">
        <v>25.3</v>
      </c>
      <c r="H438" s="220">
        <v>26.9</v>
      </c>
      <c r="I438" s="220">
        <v>28.6</v>
      </c>
    </row>
    <row r="439" spans="1:19">
      <c r="C439" s="265" t="s">
        <v>657</v>
      </c>
      <c r="D439" s="265"/>
      <c r="F439" s="220">
        <v>10.3</v>
      </c>
      <c r="G439" s="220">
        <v>12.1</v>
      </c>
      <c r="H439" s="220">
        <v>13.2</v>
      </c>
      <c r="I439" s="220">
        <v>11.9</v>
      </c>
    </row>
    <row r="440" spans="1:19">
      <c r="C440" s="265" t="s">
        <v>640</v>
      </c>
      <c r="D440" s="265"/>
      <c r="F440" s="220">
        <v>30.8</v>
      </c>
      <c r="G440" s="220">
        <v>30.1</v>
      </c>
      <c r="H440" s="220">
        <v>32.299999999999997</v>
      </c>
      <c r="I440" s="220" t="s">
        <v>54</v>
      </c>
    </row>
    <row r="444" spans="1:19" ht="15" thickBot="1">
      <c r="A444" s="198" t="s">
        <v>19</v>
      </c>
      <c r="B444" s="199"/>
      <c r="C444" s="199"/>
      <c r="D444" s="199"/>
      <c r="E444" s="199"/>
      <c r="F444" s="199"/>
      <c r="G444" s="199"/>
      <c r="H444" s="199"/>
      <c r="I444" s="199"/>
      <c r="J444" s="199"/>
      <c r="K444" s="199"/>
      <c r="L444" s="199"/>
      <c r="M444" s="199"/>
      <c r="N444" s="199"/>
      <c r="O444" s="199"/>
      <c r="P444" s="199"/>
      <c r="Q444" s="199"/>
      <c r="R444" s="199"/>
      <c r="S444" s="199"/>
    </row>
    <row r="446" spans="1:19">
      <c r="E446" s="244">
        <v>2018</v>
      </c>
      <c r="F446" s="244">
        <v>2019</v>
      </c>
      <c r="G446" s="244">
        <v>2020</v>
      </c>
      <c r="H446" s="244">
        <v>2021</v>
      </c>
      <c r="I446" s="244">
        <v>2022</v>
      </c>
      <c r="J446" s="244">
        <v>2023</v>
      </c>
      <c r="K446" s="244">
        <v>2024</v>
      </c>
      <c r="L446" s="244">
        <v>2025</v>
      </c>
      <c r="M446" s="244">
        <v>2026</v>
      </c>
      <c r="N446" s="244">
        <v>2027</v>
      </c>
      <c r="O446" s="244">
        <v>2028</v>
      </c>
      <c r="P446" s="244">
        <v>2029</v>
      </c>
      <c r="Q446" s="244">
        <v>2030</v>
      </c>
    </row>
    <row r="447" spans="1:19" ht="62.4">
      <c r="B447" s="176" t="s">
        <v>19</v>
      </c>
      <c r="C447" s="171" t="str">
        <f>C15</f>
        <v>Միջին ու փոքր տնտեսավարողների մասնաբաժին՝ ՓՄՁ սուբյեկտների կազմում (ոչ ֆինանսական բիզնես հատված, %)</v>
      </c>
      <c r="D447" s="172" t="s">
        <v>453</v>
      </c>
      <c r="E447" s="250">
        <f>(E461+E460)/E455*100</f>
        <v>6.2778570804323124</v>
      </c>
      <c r="F447" s="250">
        <f t="shared" ref="F447:J447" si="52">(F461+F460)/F455*100</f>
        <v>6.6826570724232122</v>
      </c>
      <c r="G447" s="250">
        <f t="shared" si="52"/>
        <v>5.4220059736005393</v>
      </c>
      <c r="H447" s="250">
        <f t="shared" si="52"/>
        <v>5.210896015851989</v>
      </c>
      <c r="I447" s="250">
        <f t="shared" si="52"/>
        <v>4.929480360871449</v>
      </c>
      <c r="J447" s="250">
        <f t="shared" si="52"/>
        <v>5.1703813361844455</v>
      </c>
      <c r="K447" s="193">
        <f>$J447*(($Q447/$J447)^(1/7))^(K446-$J446)</f>
        <v>5.2814751789415766</v>
      </c>
      <c r="L447" s="193">
        <f t="shared" ref="L447:P447" si="53">$J447*(($Q447/$J447)^(1/7))^(L446-$J446)</f>
        <v>5.3949560490949597</v>
      </c>
      <c r="M447" s="193">
        <f t="shared" si="53"/>
        <v>5.5108752357138115</v>
      </c>
      <c r="N447" s="193">
        <f t="shared" si="53"/>
        <v>5.6292851298943347</v>
      </c>
      <c r="O447" s="193">
        <f t="shared" si="53"/>
        <v>5.7502392484385272</v>
      </c>
      <c r="P447" s="193">
        <f t="shared" si="53"/>
        <v>5.8737922580417496</v>
      </c>
      <c r="Q447" s="252">
        <v>6</v>
      </c>
    </row>
    <row r="449" spans="3:17">
      <c r="J449" s="217" t="s">
        <v>564</v>
      </c>
      <c r="K449" s="247">
        <f t="shared" ref="K449:Q449" si="54">K447-J447</f>
        <v>0.11109384275713108</v>
      </c>
      <c r="L449" s="247">
        <f t="shared" si="54"/>
        <v>0.11348087015338315</v>
      </c>
      <c r="M449" s="247">
        <f t="shared" si="54"/>
        <v>0.11591918661885181</v>
      </c>
      <c r="N449" s="247">
        <f t="shared" si="54"/>
        <v>0.11840989418052317</v>
      </c>
      <c r="O449" s="247">
        <f t="shared" si="54"/>
        <v>0.12095411854419247</v>
      </c>
      <c r="P449" s="247">
        <f t="shared" si="54"/>
        <v>0.12355300960322246</v>
      </c>
      <c r="Q449" s="247">
        <f t="shared" si="54"/>
        <v>0.12620774195825035</v>
      </c>
    </row>
    <row r="452" spans="3:17">
      <c r="C452" t="s">
        <v>658</v>
      </c>
    </row>
    <row r="453" spans="3:17">
      <c r="C453" s="266"/>
      <c r="D453" s="266">
        <v>2017</v>
      </c>
      <c r="E453" s="266">
        <v>2018</v>
      </c>
      <c r="F453" s="266">
        <v>2019</v>
      </c>
      <c r="G453" s="266">
        <v>2020</v>
      </c>
      <c r="H453" s="266">
        <v>2021</v>
      </c>
      <c r="I453" s="266">
        <v>2022</v>
      </c>
      <c r="J453" s="266">
        <v>2023</v>
      </c>
    </row>
    <row r="454" spans="3:17">
      <c r="C454" s="267" t="s">
        <v>616</v>
      </c>
      <c r="D454" s="268">
        <v>59575</v>
      </c>
      <c r="E454" s="268">
        <v>68780</v>
      </c>
      <c r="F454" s="268">
        <v>75180</v>
      </c>
      <c r="G454" s="268">
        <v>83164</v>
      </c>
      <c r="H454" s="268">
        <v>89964</v>
      </c>
      <c r="I454" s="268">
        <v>101674</v>
      </c>
      <c r="J454" s="268">
        <v>109592</v>
      </c>
    </row>
    <row r="455" spans="3:17">
      <c r="C455" s="267" t="s">
        <v>659</v>
      </c>
      <c r="D455" s="268">
        <v>59467</v>
      </c>
      <c r="E455" s="268">
        <v>68654</v>
      </c>
      <c r="F455" s="268">
        <v>75045</v>
      </c>
      <c r="G455" s="268">
        <v>83032</v>
      </c>
      <c r="H455" s="268">
        <v>89831</v>
      </c>
      <c r="I455" s="268">
        <v>101532</v>
      </c>
      <c r="J455" s="268">
        <f>J456+J461</f>
        <v>109431</v>
      </c>
    </row>
    <row r="456" spans="3:17">
      <c r="C456" s="267" t="s">
        <v>619</v>
      </c>
      <c r="D456" s="268">
        <v>58952</v>
      </c>
      <c r="E456" s="268">
        <v>68030</v>
      </c>
      <c r="F456" s="268">
        <v>74302</v>
      </c>
      <c r="G456" s="268">
        <v>82337</v>
      </c>
      <c r="H456" s="268">
        <v>89144</v>
      </c>
      <c r="I456" s="268">
        <v>100806</v>
      </c>
      <c r="J456" s="268">
        <f>J457+J460</f>
        <v>108614</v>
      </c>
    </row>
    <row r="457" spans="3:17">
      <c r="C457" s="267" t="s">
        <v>620</v>
      </c>
      <c r="D457" s="268">
        <v>55921</v>
      </c>
      <c r="E457" s="268">
        <v>64344</v>
      </c>
      <c r="F457" s="268">
        <v>70030</v>
      </c>
      <c r="G457" s="268">
        <v>78530</v>
      </c>
      <c r="H457" s="268">
        <v>85150</v>
      </c>
      <c r="I457" s="268">
        <v>96527</v>
      </c>
      <c r="J457" s="268">
        <v>103773</v>
      </c>
    </row>
    <row r="458" spans="3:17">
      <c r="C458" s="267" t="s">
        <v>660</v>
      </c>
      <c r="D458" s="268">
        <v>23714</v>
      </c>
      <c r="E458" s="268">
        <v>33198</v>
      </c>
      <c r="F458" s="268">
        <v>38483</v>
      </c>
      <c r="G458" s="268">
        <v>37122</v>
      </c>
      <c r="H458" s="268">
        <v>40548</v>
      </c>
      <c r="I458" s="268">
        <v>44474</v>
      </c>
      <c r="J458" s="268">
        <f>J457-J459</f>
        <v>49331</v>
      </c>
    </row>
    <row r="459" spans="3:17">
      <c r="C459" s="267" t="s">
        <v>661</v>
      </c>
      <c r="D459" s="268">
        <v>32207</v>
      </c>
      <c r="E459" s="268">
        <v>31146</v>
      </c>
      <c r="F459" s="268">
        <v>31547</v>
      </c>
      <c r="G459" s="268">
        <v>41408</v>
      </c>
      <c r="H459" s="268">
        <v>44602</v>
      </c>
      <c r="I459" s="268">
        <v>52053</v>
      </c>
      <c r="J459" s="268">
        <v>54442</v>
      </c>
    </row>
    <row r="460" spans="3:17">
      <c r="C460" s="267" t="s">
        <v>621</v>
      </c>
      <c r="D460" s="268">
        <v>3031</v>
      </c>
      <c r="E460" s="268">
        <v>3686</v>
      </c>
      <c r="F460" s="268">
        <v>4272</v>
      </c>
      <c r="G460" s="268">
        <v>3807</v>
      </c>
      <c r="H460" s="268">
        <v>3994</v>
      </c>
      <c r="I460" s="268">
        <v>4279</v>
      </c>
      <c r="J460" s="268">
        <v>4841</v>
      </c>
    </row>
    <row r="461" spans="3:17">
      <c r="C461" s="267" t="s">
        <v>622</v>
      </c>
      <c r="D461" s="268">
        <v>515</v>
      </c>
      <c r="E461" s="268">
        <v>624</v>
      </c>
      <c r="F461" s="268">
        <v>743</v>
      </c>
      <c r="G461" s="268">
        <v>695</v>
      </c>
      <c r="H461" s="268">
        <v>687</v>
      </c>
      <c r="I461" s="268">
        <v>726</v>
      </c>
      <c r="J461" s="268">
        <v>817</v>
      </c>
    </row>
    <row r="462" spans="3:17">
      <c r="C462" s="267" t="s">
        <v>618</v>
      </c>
      <c r="D462" s="268">
        <v>108</v>
      </c>
      <c r="E462" s="268">
        <v>126</v>
      </c>
      <c r="F462" s="268">
        <v>135</v>
      </c>
      <c r="G462" s="268">
        <v>132</v>
      </c>
      <c r="H462" s="268">
        <v>133</v>
      </c>
      <c r="I462" s="268">
        <v>142</v>
      </c>
      <c r="J462" s="268">
        <v>161</v>
      </c>
    </row>
    <row r="465" spans="3:9">
      <c r="C465" s="205" t="s">
        <v>505</v>
      </c>
      <c r="D465" s="206" t="s">
        <v>662</v>
      </c>
    </row>
    <row r="467" spans="3:9">
      <c r="C467" s="206" t="s">
        <v>507</v>
      </c>
      <c r="E467" s="205" t="s">
        <v>508</v>
      </c>
    </row>
    <row r="468" spans="3:9">
      <c r="C468" s="206" t="s">
        <v>663</v>
      </c>
      <c r="E468" s="205" t="s">
        <v>624</v>
      </c>
    </row>
    <row r="469" spans="3:9">
      <c r="C469" s="206" t="s">
        <v>509</v>
      </c>
      <c r="E469" s="205" t="s">
        <v>664</v>
      </c>
    </row>
    <row r="470" spans="3:9">
      <c r="C470" s="206" t="s">
        <v>513</v>
      </c>
      <c r="E470" s="205" t="s">
        <v>514</v>
      </c>
    </row>
    <row r="472" spans="3:9">
      <c r="C472" s="207" t="s">
        <v>515</v>
      </c>
      <c r="D472" s="377" t="s">
        <v>516</v>
      </c>
      <c r="E472" s="377" t="s">
        <v>517</v>
      </c>
      <c r="F472" s="377" t="s">
        <v>516</v>
      </c>
      <c r="G472" s="377" t="s">
        <v>517</v>
      </c>
    </row>
    <row r="473" spans="3:9">
      <c r="C473" s="207" t="s">
        <v>665</v>
      </c>
      <c r="D473" s="378" t="s">
        <v>624</v>
      </c>
      <c r="E473" s="378" t="s">
        <v>517</v>
      </c>
      <c r="F473" s="378" t="s">
        <v>666</v>
      </c>
      <c r="G473" s="378" t="s">
        <v>517</v>
      </c>
      <c r="I473" t="s">
        <v>667</v>
      </c>
    </row>
    <row r="474" spans="3:9">
      <c r="C474" s="208" t="s">
        <v>523</v>
      </c>
      <c r="D474" s="209" t="s">
        <v>517</v>
      </c>
      <c r="E474" s="209" t="s">
        <v>517</v>
      </c>
      <c r="F474" s="209" t="s">
        <v>517</v>
      </c>
      <c r="G474" s="209" t="s">
        <v>517</v>
      </c>
    </row>
    <row r="475" spans="3:9">
      <c r="C475" s="210" t="s">
        <v>524</v>
      </c>
      <c r="D475" s="212" t="s">
        <v>525</v>
      </c>
      <c r="E475" s="212" t="s">
        <v>517</v>
      </c>
      <c r="F475" s="212" t="s">
        <v>525</v>
      </c>
      <c r="G475" s="212" t="s">
        <v>517</v>
      </c>
    </row>
    <row r="476" spans="3:9">
      <c r="C476" s="210" t="s">
        <v>668</v>
      </c>
      <c r="D476" s="211" t="s">
        <v>525</v>
      </c>
      <c r="E476" s="211" t="s">
        <v>517</v>
      </c>
      <c r="F476" s="211" t="s">
        <v>525</v>
      </c>
      <c r="G476" s="211" t="s">
        <v>517</v>
      </c>
    </row>
    <row r="477" spans="3:9">
      <c r="C477" s="210" t="s">
        <v>669</v>
      </c>
      <c r="D477" s="212" t="s">
        <v>525</v>
      </c>
      <c r="E477" s="212" t="s">
        <v>517</v>
      </c>
      <c r="F477" s="212" t="s">
        <v>525</v>
      </c>
      <c r="G477" s="212" t="s">
        <v>517</v>
      </c>
    </row>
    <row r="478" spans="3:9">
      <c r="C478" s="210" t="s">
        <v>526</v>
      </c>
      <c r="D478" s="211">
        <v>888925</v>
      </c>
      <c r="E478" s="211" t="s">
        <v>517</v>
      </c>
      <c r="F478" s="211">
        <v>35120</v>
      </c>
      <c r="G478" s="211" t="s">
        <v>517</v>
      </c>
      <c r="I478" s="243">
        <f>F478/D478*100</f>
        <v>3.9508394971454286</v>
      </c>
    </row>
    <row r="479" spans="3:9">
      <c r="C479" s="210" t="s">
        <v>527</v>
      </c>
      <c r="D479" s="212">
        <v>394135</v>
      </c>
      <c r="E479" s="212" t="s">
        <v>517</v>
      </c>
      <c r="F479" s="212">
        <v>27703</v>
      </c>
      <c r="G479" s="212" t="s">
        <v>517</v>
      </c>
      <c r="I479" s="243">
        <f t="shared" ref="I479:I508" si="55">F479/D479*100</f>
        <v>7.0288099255331291</v>
      </c>
    </row>
    <row r="480" spans="3:9">
      <c r="C480" s="210" t="s">
        <v>528</v>
      </c>
      <c r="D480" s="211">
        <v>1292436</v>
      </c>
      <c r="E480" s="211" t="s">
        <v>517</v>
      </c>
      <c r="F480" s="211">
        <v>40552</v>
      </c>
      <c r="G480" s="211" t="s">
        <v>517</v>
      </c>
      <c r="I480" s="243">
        <f t="shared" si="55"/>
        <v>3.1376408580386186</v>
      </c>
    </row>
    <row r="481" spans="3:9">
      <c r="C481" s="210" t="s">
        <v>529</v>
      </c>
      <c r="D481" s="212">
        <v>380208</v>
      </c>
      <c r="E481" s="212" t="s">
        <v>517</v>
      </c>
      <c r="F481" s="212">
        <v>30894</v>
      </c>
      <c r="G481" s="212" t="s">
        <v>517</v>
      </c>
      <c r="I481" s="243">
        <f t="shared" si="55"/>
        <v>8.1255523292513558</v>
      </c>
    </row>
    <row r="482" spans="3:9">
      <c r="C482" s="210" t="s">
        <v>530</v>
      </c>
      <c r="D482" s="211">
        <v>3164855</v>
      </c>
      <c r="E482" s="211" t="s">
        <v>517</v>
      </c>
      <c r="F482" s="211">
        <v>396563</v>
      </c>
      <c r="G482" s="211" t="s">
        <v>517</v>
      </c>
      <c r="I482" s="243">
        <f t="shared" si="55"/>
        <v>12.530210704755826</v>
      </c>
    </row>
    <row r="483" spans="3:9">
      <c r="C483" s="210" t="s">
        <v>531</v>
      </c>
      <c r="D483" s="212">
        <v>153907</v>
      </c>
      <c r="E483" s="212" t="s">
        <v>517</v>
      </c>
      <c r="F483" s="212">
        <v>7632</v>
      </c>
      <c r="G483" s="212" t="s">
        <v>517</v>
      </c>
      <c r="I483" s="243">
        <f t="shared" si="55"/>
        <v>4.9588387792628019</v>
      </c>
    </row>
    <row r="484" spans="3:9">
      <c r="C484" s="210" t="s">
        <v>532</v>
      </c>
      <c r="D484" s="211">
        <v>389654</v>
      </c>
      <c r="E484" s="211" t="s">
        <v>517</v>
      </c>
      <c r="F484" s="211">
        <v>29332</v>
      </c>
      <c r="G484" s="211" t="s">
        <v>517</v>
      </c>
      <c r="I484" s="243">
        <f t="shared" si="55"/>
        <v>7.5277040656582503</v>
      </c>
    </row>
    <row r="485" spans="3:9">
      <c r="C485" s="210" t="s">
        <v>533</v>
      </c>
      <c r="D485" s="212">
        <v>917441</v>
      </c>
      <c r="E485" s="212" t="s">
        <v>517</v>
      </c>
      <c r="F485" s="212">
        <v>46360</v>
      </c>
      <c r="G485" s="212" t="s">
        <v>517</v>
      </c>
      <c r="I485" s="243">
        <f t="shared" si="55"/>
        <v>5.0531859814418585</v>
      </c>
    </row>
    <row r="486" spans="3:9">
      <c r="C486" s="210" t="s">
        <v>534</v>
      </c>
      <c r="D486" s="211">
        <v>3487503</v>
      </c>
      <c r="E486" s="211" t="s">
        <v>517</v>
      </c>
      <c r="F486" s="211">
        <v>167116</v>
      </c>
      <c r="G486" s="211" t="s">
        <v>517</v>
      </c>
      <c r="I486" s="243">
        <f t="shared" si="55"/>
        <v>4.7918525088007087</v>
      </c>
    </row>
    <row r="487" spans="3:9">
      <c r="C487" s="210" t="s">
        <v>535</v>
      </c>
      <c r="D487" s="212">
        <v>5202687</v>
      </c>
      <c r="E487" s="212" t="s">
        <v>670</v>
      </c>
      <c r="F487" s="212">
        <v>195016</v>
      </c>
      <c r="G487" s="212" t="s">
        <v>670</v>
      </c>
      <c r="I487" s="243">
        <f t="shared" si="55"/>
        <v>3.748370793784058</v>
      </c>
    </row>
    <row r="488" spans="3:9">
      <c r="C488" s="210" t="s">
        <v>536</v>
      </c>
      <c r="D488" s="211">
        <v>227408</v>
      </c>
      <c r="E488" s="211" t="s">
        <v>517</v>
      </c>
      <c r="F488" s="211">
        <v>16019</v>
      </c>
      <c r="G488" s="211" t="s">
        <v>517</v>
      </c>
      <c r="I488" s="243">
        <f t="shared" si="55"/>
        <v>7.0441673116161256</v>
      </c>
    </row>
    <row r="489" spans="3:9">
      <c r="C489" s="210" t="s">
        <v>537</v>
      </c>
      <c r="D489" s="212">
        <v>4579525</v>
      </c>
      <c r="E489" s="212" t="s">
        <v>517</v>
      </c>
      <c r="F489" s="212">
        <v>197250</v>
      </c>
      <c r="G489" s="212" t="s">
        <v>517</v>
      </c>
      <c r="I489" s="243">
        <f t="shared" si="55"/>
        <v>4.3072152679590126</v>
      </c>
    </row>
    <row r="490" spans="3:9">
      <c r="C490" s="210" t="s">
        <v>538</v>
      </c>
      <c r="D490" s="211">
        <v>87707</v>
      </c>
      <c r="E490" s="211" t="s">
        <v>517</v>
      </c>
      <c r="F490" s="211">
        <v>5636</v>
      </c>
      <c r="G490" s="211" t="s">
        <v>517</v>
      </c>
      <c r="I490" s="243">
        <f t="shared" si="55"/>
        <v>6.4259409169165522</v>
      </c>
    </row>
    <row r="491" spans="3:9">
      <c r="C491" s="210" t="s">
        <v>539</v>
      </c>
      <c r="D491" s="212">
        <v>145441</v>
      </c>
      <c r="E491" s="212" t="s">
        <v>517</v>
      </c>
      <c r="F491" s="212">
        <v>9696</v>
      </c>
      <c r="G491" s="212" t="s">
        <v>517</v>
      </c>
      <c r="I491" s="243">
        <f t="shared" si="55"/>
        <v>6.6666208290647067</v>
      </c>
    </row>
    <row r="492" spans="3:9">
      <c r="C492" s="210" t="s">
        <v>540</v>
      </c>
      <c r="D492" s="211">
        <v>329361</v>
      </c>
      <c r="E492" s="211" t="s">
        <v>517</v>
      </c>
      <c r="F492" s="211">
        <v>15467</v>
      </c>
      <c r="G492" s="211" t="s">
        <v>517</v>
      </c>
      <c r="I492" s="243">
        <f t="shared" si="55"/>
        <v>4.6960629825632063</v>
      </c>
    </row>
    <row r="493" spans="3:9">
      <c r="C493" s="210" t="s">
        <v>541</v>
      </c>
      <c r="D493" s="212">
        <v>45021</v>
      </c>
      <c r="E493" s="212" t="s">
        <v>670</v>
      </c>
      <c r="F493" s="212">
        <v>5558</v>
      </c>
      <c r="G493" s="212" t="s">
        <v>517</v>
      </c>
      <c r="I493" s="243">
        <f t="shared" si="55"/>
        <v>12.345349947802136</v>
      </c>
    </row>
    <row r="494" spans="3:9">
      <c r="C494" s="210" t="s">
        <v>542</v>
      </c>
      <c r="D494" s="211">
        <v>976964</v>
      </c>
      <c r="E494" s="211" t="s">
        <v>517</v>
      </c>
      <c r="F494" s="211">
        <v>34368</v>
      </c>
      <c r="G494" s="211" t="s">
        <v>517</v>
      </c>
      <c r="I494" s="243">
        <f t="shared" si="55"/>
        <v>3.5178368906121413</v>
      </c>
    </row>
    <row r="495" spans="3:9">
      <c r="C495" s="210" t="s">
        <v>543</v>
      </c>
      <c r="D495" s="212">
        <v>51506</v>
      </c>
      <c r="E495" s="212" t="s">
        <v>517</v>
      </c>
      <c r="F495" s="212">
        <v>3060</v>
      </c>
      <c r="G495" s="212" t="s">
        <v>517</v>
      </c>
      <c r="I495" s="243">
        <f t="shared" si="55"/>
        <v>5.9410554110200753</v>
      </c>
    </row>
    <row r="496" spans="3:9">
      <c r="C496" s="210" t="s">
        <v>544</v>
      </c>
      <c r="D496" s="211">
        <v>2204281</v>
      </c>
      <c r="E496" s="211" t="s">
        <v>517</v>
      </c>
      <c r="F496" s="211">
        <v>85193</v>
      </c>
      <c r="G496" s="211" t="s">
        <v>517</v>
      </c>
      <c r="I496" s="243">
        <f t="shared" si="55"/>
        <v>3.8648883694955409</v>
      </c>
    </row>
    <row r="497" spans="1:19">
      <c r="C497" s="210" t="s">
        <v>545</v>
      </c>
      <c r="D497" s="212">
        <v>583947</v>
      </c>
      <c r="E497" s="212" t="s">
        <v>517</v>
      </c>
      <c r="F497" s="212">
        <v>42845</v>
      </c>
      <c r="G497" s="212" t="s">
        <v>517</v>
      </c>
      <c r="I497" s="243">
        <f t="shared" si="55"/>
        <v>7.3371384731833533</v>
      </c>
    </row>
    <row r="498" spans="1:19">
      <c r="C498" s="210" t="s">
        <v>546</v>
      </c>
      <c r="D498" s="211">
        <v>2675865</v>
      </c>
      <c r="E498" s="211" t="s">
        <v>517</v>
      </c>
      <c r="F498" s="211">
        <v>111412</v>
      </c>
      <c r="G498" s="211" t="s">
        <v>517</v>
      </c>
      <c r="I498" s="243">
        <f t="shared" si="55"/>
        <v>4.1635882228737247</v>
      </c>
    </row>
    <row r="499" spans="1:19">
      <c r="C499" s="210" t="s">
        <v>547</v>
      </c>
      <c r="D499" s="212">
        <v>1329175</v>
      </c>
      <c r="E499" s="212" t="s">
        <v>517</v>
      </c>
      <c r="F499" s="212">
        <v>51687</v>
      </c>
      <c r="G499" s="212" t="s">
        <v>517</v>
      </c>
      <c r="I499" s="243">
        <f t="shared" si="55"/>
        <v>3.8886527357195249</v>
      </c>
    </row>
    <row r="500" spans="1:19">
      <c r="C500" s="210" t="s">
        <v>549</v>
      </c>
      <c r="D500" s="211">
        <v>974968</v>
      </c>
      <c r="E500" s="211" t="s">
        <v>517</v>
      </c>
      <c r="F500" s="211">
        <v>54310</v>
      </c>
      <c r="G500" s="211" t="s">
        <v>517</v>
      </c>
      <c r="I500" s="243">
        <f t="shared" si="55"/>
        <v>5.5704392349287364</v>
      </c>
    </row>
    <row r="501" spans="1:19">
      <c r="C501" s="210" t="s">
        <v>550</v>
      </c>
      <c r="D501" s="212">
        <v>194876</v>
      </c>
      <c r="E501" s="212" t="s">
        <v>517</v>
      </c>
      <c r="F501" s="212">
        <v>9260</v>
      </c>
      <c r="G501" s="212" t="s">
        <v>517</v>
      </c>
      <c r="I501" s="243">
        <f t="shared" si="55"/>
        <v>4.7517395677251173</v>
      </c>
    </row>
    <row r="502" spans="1:19">
      <c r="C502" s="210" t="s">
        <v>551</v>
      </c>
      <c r="D502" s="211">
        <v>635781</v>
      </c>
      <c r="E502" s="211" t="s">
        <v>517</v>
      </c>
      <c r="F502" s="211">
        <v>15902</v>
      </c>
      <c r="G502" s="211" t="s">
        <v>517</v>
      </c>
      <c r="I502" s="243">
        <f t="shared" si="55"/>
        <v>2.5011757193121533</v>
      </c>
    </row>
    <row r="503" spans="1:19">
      <c r="C503" s="210" t="s">
        <v>552</v>
      </c>
      <c r="D503" s="212">
        <v>442264</v>
      </c>
      <c r="E503" s="212" t="s">
        <v>517</v>
      </c>
      <c r="F503" s="212">
        <v>21811</v>
      </c>
      <c r="G503" s="212" t="s">
        <v>517</v>
      </c>
      <c r="I503" s="243">
        <f t="shared" si="55"/>
        <v>4.9316697719009461</v>
      </c>
    </row>
    <row r="504" spans="1:19">
      <c r="C504" s="210" t="s">
        <v>553</v>
      </c>
      <c r="D504" s="211">
        <v>835543</v>
      </c>
      <c r="E504" s="211" t="s">
        <v>670</v>
      </c>
      <c r="F504" s="211">
        <v>41953</v>
      </c>
      <c r="G504" s="211" t="s">
        <v>670</v>
      </c>
      <c r="I504" s="243">
        <f t="shared" si="55"/>
        <v>5.0210461939122224</v>
      </c>
    </row>
    <row r="505" spans="1:19">
      <c r="C505" s="210" t="s">
        <v>554</v>
      </c>
      <c r="D505" s="212">
        <v>44981</v>
      </c>
      <c r="E505" s="212" t="s">
        <v>557</v>
      </c>
      <c r="F505" s="212">
        <v>2245</v>
      </c>
      <c r="G505" s="212" t="s">
        <v>557</v>
      </c>
      <c r="I505" s="243">
        <f t="shared" si="55"/>
        <v>4.9909961983948783</v>
      </c>
    </row>
    <row r="506" spans="1:19">
      <c r="C506" s="210" t="s">
        <v>560</v>
      </c>
      <c r="D506" s="211">
        <v>66577</v>
      </c>
      <c r="E506" s="211" t="s">
        <v>517</v>
      </c>
      <c r="F506" s="211">
        <v>5810</v>
      </c>
      <c r="G506" s="211" t="s">
        <v>517</v>
      </c>
      <c r="I506" s="243">
        <f t="shared" si="55"/>
        <v>8.7267374618862377</v>
      </c>
    </row>
    <row r="507" spans="1:19">
      <c r="C507" s="210" t="s">
        <v>562</v>
      </c>
      <c r="D507" s="212">
        <v>205316</v>
      </c>
      <c r="E507" s="212" t="s">
        <v>517</v>
      </c>
      <c r="F507" s="212">
        <v>20076</v>
      </c>
      <c r="G507" s="212" t="s">
        <v>517</v>
      </c>
      <c r="I507" s="243">
        <f t="shared" si="55"/>
        <v>9.778098151142629</v>
      </c>
    </row>
    <row r="508" spans="1:19">
      <c r="C508" s="210" t="s">
        <v>671</v>
      </c>
      <c r="D508" s="211">
        <v>3806819</v>
      </c>
      <c r="E508" s="211" t="s">
        <v>517</v>
      </c>
      <c r="F508" s="211">
        <v>216615</v>
      </c>
      <c r="G508" s="211" t="s">
        <v>517</v>
      </c>
      <c r="I508" s="243">
        <f t="shared" si="55"/>
        <v>5.6901838516619785</v>
      </c>
    </row>
    <row r="512" spans="1:19" ht="15" thickBot="1">
      <c r="A512" s="198" t="s">
        <v>20</v>
      </c>
      <c r="B512" s="199"/>
      <c r="C512" s="199"/>
      <c r="D512" s="199"/>
      <c r="E512" s="199"/>
      <c r="F512" s="199"/>
      <c r="G512" s="199"/>
      <c r="H512" s="199"/>
      <c r="I512" s="199"/>
      <c r="J512" s="199"/>
      <c r="K512" s="199"/>
      <c r="L512" s="199"/>
      <c r="M512" s="199"/>
      <c r="N512" s="199"/>
      <c r="O512" s="199"/>
      <c r="P512" s="199"/>
      <c r="Q512" s="199"/>
      <c r="R512" s="199"/>
      <c r="S512" s="199"/>
    </row>
    <row r="514" spans="2:17">
      <c r="E514" s="169">
        <v>2018</v>
      </c>
      <c r="F514" s="169">
        <v>2019</v>
      </c>
      <c r="G514" s="169">
        <v>2020</v>
      </c>
      <c r="H514" s="169">
        <v>2021</v>
      </c>
      <c r="I514" s="169">
        <v>2022</v>
      </c>
      <c r="J514" s="169">
        <v>2023</v>
      </c>
      <c r="K514" s="169">
        <v>2024</v>
      </c>
      <c r="L514" s="169">
        <v>2025</v>
      </c>
      <c r="M514" s="169">
        <v>2026</v>
      </c>
      <c r="N514" s="169">
        <v>2027</v>
      </c>
      <c r="O514" s="169">
        <v>2028</v>
      </c>
      <c r="P514" s="169">
        <v>2029</v>
      </c>
      <c r="Q514" s="169">
        <v>2030</v>
      </c>
    </row>
    <row r="515" spans="2:17" ht="78">
      <c r="B515" s="176" t="s">
        <v>20</v>
      </c>
      <c r="C515" s="171" t="str">
        <f>C16</f>
        <v>ISO 9001 որակի կառավարման համապատասխանության սերտիֆիկատների թվաքանակ` ՀՆԱ-ի հաշվով (միավոր/համարժեք գնողունակության ՀՆԱ մլրդ․ ԱՄՆ դոլար)</v>
      </c>
      <c r="D515" s="172" t="s">
        <v>478</v>
      </c>
      <c r="E515" s="169">
        <v>2.2999999999999998</v>
      </c>
      <c r="F515" s="169">
        <v>2.2000000000000002</v>
      </c>
      <c r="G515" s="169">
        <v>2.2000000000000002</v>
      </c>
      <c r="H515" s="169">
        <v>1.6</v>
      </c>
      <c r="I515" s="169">
        <v>2.1</v>
      </c>
      <c r="J515" s="179">
        <f>I515*((Q515/I515)^(1/8))^(J514-I514)</f>
        <v>2.5523597240849094</v>
      </c>
      <c r="K515" s="179">
        <f>I515*((Q515/I515)^(1/8))^(K514-I514)</f>
        <v>3.1021619814908541</v>
      </c>
      <c r="L515" s="179">
        <f>I515*((Q515/I515)^(1/8))^(L514-I514)</f>
        <v>3.7703968091165199</v>
      </c>
      <c r="M515" s="179">
        <f>I515*((Q515/I515)^(1/8))^(M514-I514)</f>
        <v>4.5825756949558398</v>
      </c>
      <c r="N515" s="179">
        <f>I515*((Q515/I515)^(1/8))^(N514-I514)</f>
        <v>5.5697055411312855</v>
      </c>
      <c r="O515" s="179">
        <f>I515*((Q515/I515)^(1/8))^(O514-I514)</f>
        <v>6.7694724277123983</v>
      </c>
      <c r="P515" s="179">
        <f>I515*((Q515/I515)^(1/8))^(P514-I514)</f>
        <v>8.2276803703792467</v>
      </c>
      <c r="Q515" s="189">
        <v>10</v>
      </c>
    </row>
    <row r="517" spans="2:17">
      <c r="I517" s="217" t="s">
        <v>604</v>
      </c>
      <c r="J517" s="247">
        <f>J515-I515</f>
        <v>0.45235972408490932</v>
      </c>
      <c r="K517" s="247">
        <f t="shared" ref="K517:Q517" si="56">K515-J515</f>
        <v>0.54980225740594468</v>
      </c>
      <c r="L517" s="247">
        <f t="shared" si="56"/>
        <v>0.66823482762566577</v>
      </c>
      <c r="M517" s="247">
        <f t="shared" si="56"/>
        <v>0.81217888583931996</v>
      </c>
      <c r="N517" s="247">
        <f t="shared" si="56"/>
        <v>0.98712984617544564</v>
      </c>
      <c r="O517" s="247">
        <f t="shared" si="56"/>
        <v>1.1997668865811129</v>
      </c>
      <c r="P517" s="247">
        <f t="shared" si="56"/>
        <v>1.4582079426668484</v>
      </c>
      <c r="Q517" s="247">
        <f t="shared" si="56"/>
        <v>1.7723196296207533</v>
      </c>
    </row>
    <row r="519" spans="2:17">
      <c r="C519" s="269" t="s">
        <v>672</v>
      </c>
      <c r="D519" s="270"/>
      <c r="E519" s="270"/>
    </row>
    <row r="520" spans="2:17">
      <c r="C520" s="375"/>
      <c r="D520" s="375"/>
      <c r="E520" s="169">
        <v>2018</v>
      </c>
      <c r="F520" s="169">
        <v>2019</v>
      </c>
      <c r="G520" s="169">
        <v>2020</v>
      </c>
      <c r="H520" s="169">
        <v>2021</v>
      </c>
      <c r="I520" s="169">
        <v>2022</v>
      </c>
    </row>
    <row r="521" spans="2:17">
      <c r="C521" s="375" t="s">
        <v>561</v>
      </c>
      <c r="D521" s="375"/>
      <c r="E521" s="184">
        <v>22.2</v>
      </c>
      <c r="F521" s="184">
        <v>18.5</v>
      </c>
      <c r="G521" s="184">
        <v>15</v>
      </c>
      <c r="H521" s="184">
        <v>23</v>
      </c>
      <c r="I521" s="184">
        <v>24.1</v>
      </c>
    </row>
    <row r="522" spans="2:17">
      <c r="C522" s="375" t="s">
        <v>633</v>
      </c>
      <c r="D522" s="375"/>
      <c r="E522" s="184">
        <v>2.1</v>
      </c>
      <c r="F522" s="184">
        <v>52.6</v>
      </c>
      <c r="G522" s="184">
        <v>67.099999999999994</v>
      </c>
      <c r="H522" s="184">
        <v>89.6</v>
      </c>
      <c r="I522" s="184">
        <v>97</v>
      </c>
    </row>
    <row r="523" spans="2:17">
      <c r="C523" s="375" t="s">
        <v>558</v>
      </c>
      <c r="D523" s="375"/>
      <c r="E523" s="184">
        <v>59.8</v>
      </c>
      <c r="F523" s="184">
        <v>60.3</v>
      </c>
      <c r="G523" s="184">
        <v>77.099999999999994</v>
      </c>
      <c r="H523" s="184">
        <v>71</v>
      </c>
      <c r="I523" s="184">
        <v>59.2</v>
      </c>
    </row>
    <row r="524" spans="2:17">
      <c r="C524" s="375" t="s">
        <v>527</v>
      </c>
      <c r="D524" s="375"/>
      <c r="E524" s="184">
        <v>100</v>
      </c>
      <c r="F524" s="184">
        <v>83.7</v>
      </c>
      <c r="G524" s="184">
        <v>100</v>
      </c>
      <c r="H524" s="184">
        <v>100</v>
      </c>
      <c r="I524" s="184">
        <v>97.2</v>
      </c>
    </row>
    <row r="525" spans="2:17">
      <c r="C525" s="375" t="s">
        <v>536</v>
      </c>
      <c r="D525" s="375"/>
      <c r="E525" s="184">
        <v>67.400000000000006</v>
      </c>
      <c r="F525" s="184">
        <v>55.3</v>
      </c>
      <c r="G525" s="184">
        <v>59.5</v>
      </c>
      <c r="H525" s="184">
        <v>58.9</v>
      </c>
      <c r="I525" s="184">
        <v>57.8</v>
      </c>
    </row>
    <row r="526" spans="2:17">
      <c r="C526" s="375" t="s">
        <v>538</v>
      </c>
      <c r="D526" s="375"/>
      <c r="E526" s="184">
        <v>22.3</v>
      </c>
      <c r="F526" s="184">
        <v>70.099999999999994</v>
      </c>
      <c r="G526" s="184">
        <v>60.9</v>
      </c>
      <c r="H526" s="184">
        <v>56.2</v>
      </c>
      <c r="I526" s="184">
        <v>54.3</v>
      </c>
    </row>
    <row r="527" spans="2:17">
      <c r="C527" s="375" t="s">
        <v>528</v>
      </c>
      <c r="D527" s="375"/>
      <c r="E527" s="184">
        <v>72.5</v>
      </c>
      <c r="F527" s="184">
        <v>70.5</v>
      </c>
      <c r="G527" s="184">
        <v>80.8</v>
      </c>
      <c r="H527" s="184">
        <v>71.900000000000006</v>
      </c>
      <c r="I527" s="184">
        <v>60.8</v>
      </c>
    </row>
    <row r="528" spans="2:17">
      <c r="C528" s="375" t="s">
        <v>531</v>
      </c>
      <c r="D528" s="375"/>
      <c r="E528" s="184">
        <v>60.6</v>
      </c>
      <c r="F528" s="184">
        <v>59.7</v>
      </c>
      <c r="G528" s="184">
        <v>63.7</v>
      </c>
      <c r="H528" s="184">
        <v>51.1</v>
      </c>
      <c r="I528" s="184">
        <v>49.3</v>
      </c>
    </row>
    <row r="529" spans="3:9">
      <c r="C529" s="375" t="s">
        <v>568</v>
      </c>
      <c r="D529" s="375"/>
      <c r="E529" s="184">
        <v>9.5</v>
      </c>
      <c r="F529" s="184">
        <v>7.8</v>
      </c>
      <c r="G529" s="184">
        <v>11</v>
      </c>
      <c r="H529" s="184">
        <v>7.8</v>
      </c>
      <c r="I529" s="184">
        <v>9.3000000000000007</v>
      </c>
    </row>
    <row r="530" spans="3:9">
      <c r="C530" s="375" t="s">
        <v>542</v>
      </c>
      <c r="D530" s="375"/>
      <c r="E530" s="184">
        <v>58.9</v>
      </c>
      <c r="F530" s="184">
        <v>48.7</v>
      </c>
      <c r="G530" s="184">
        <v>58.1</v>
      </c>
      <c r="H530" s="184">
        <v>56.8</v>
      </c>
      <c r="I530" s="184">
        <v>57.7</v>
      </c>
    </row>
    <row r="531" spans="3:9">
      <c r="C531" s="375" t="s">
        <v>634</v>
      </c>
      <c r="D531" s="375"/>
      <c r="E531" s="184">
        <v>2.5</v>
      </c>
      <c r="F531" s="184">
        <v>1.8</v>
      </c>
      <c r="G531" s="184">
        <v>2.8</v>
      </c>
      <c r="H531" s="184">
        <v>2.1</v>
      </c>
      <c r="I531" s="184">
        <v>1.9</v>
      </c>
    </row>
    <row r="532" spans="3:9">
      <c r="C532" s="375" t="s">
        <v>636</v>
      </c>
      <c r="D532" s="375"/>
      <c r="E532" s="184">
        <v>0.1</v>
      </c>
      <c r="F532" s="184">
        <v>0.7</v>
      </c>
      <c r="G532" s="184">
        <v>1</v>
      </c>
      <c r="H532" s="184">
        <v>0.9</v>
      </c>
      <c r="I532" s="184">
        <v>0.7</v>
      </c>
    </row>
    <row r="533" spans="3:9">
      <c r="C533" s="375" t="s">
        <v>539</v>
      </c>
      <c r="D533" s="375"/>
      <c r="E533" s="184">
        <v>41.4</v>
      </c>
      <c r="F533" s="184">
        <v>42.2</v>
      </c>
      <c r="G533" s="184">
        <v>42</v>
      </c>
      <c r="H533" s="184">
        <v>37.9</v>
      </c>
      <c r="I533" s="184">
        <v>37.200000000000003</v>
      </c>
    </row>
    <row r="534" spans="3:9">
      <c r="C534" s="375" t="s">
        <v>540</v>
      </c>
      <c r="D534" s="375"/>
      <c r="E534" s="184">
        <v>32.200000000000003</v>
      </c>
      <c r="F534" s="184">
        <v>33.4</v>
      </c>
      <c r="G534" s="184">
        <v>41.1</v>
      </c>
      <c r="H534" s="184">
        <v>40</v>
      </c>
      <c r="I534" s="184">
        <v>33.5</v>
      </c>
    </row>
    <row r="535" spans="3:9">
      <c r="C535" s="375" t="s">
        <v>570</v>
      </c>
      <c r="D535" s="375"/>
      <c r="E535" s="184">
        <v>14.6</v>
      </c>
      <c r="F535" s="184">
        <v>10.8</v>
      </c>
      <c r="G535" s="184">
        <v>9</v>
      </c>
      <c r="H535" s="184">
        <v>6.5</v>
      </c>
      <c r="I535" s="184">
        <v>6.3</v>
      </c>
    </row>
    <row r="536" spans="3:9">
      <c r="C536" s="375" t="s">
        <v>637</v>
      </c>
      <c r="D536" s="375"/>
      <c r="E536" s="184">
        <v>22.7</v>
      </c>
      <c r="F536" s="184">
        <v>33.9</v>
      </c>
      <c r="G536" s="184">
        <v>36.299999999999997</v>
      </c>
      <c r="H536" s="184">
        <v>40.5</v>
      </c>
      <c r="I536" s="184">
        <v>47</v>
      </c>
    </row>
    <row r="537" spans="3:9">
      <c r="C537" s="375" t="s">
        <v>546</v>
      </c>
      <c r="D537" s="375"/>
      <c r="E537" s="184">
        <v>27.8</v>
      </c>
      <c r="F537" s="184">
        <v>24.9</v>
      </c>
      <c r="G537" s="184">
        <v>25.2</v>
      </c>
      <c r="H537" s="184">
        <v>23</v>
      </c>
      <c r="I537" s="184">
        <v>21.2</v>
      </c>
    </row>
    <row r="538" spans="3:9">
      <c r="C538" s="375" t="s">
        <v>549</v>
      </c>
      <c r="D538" s="375"/>
      <c r="E538" s="184">
        <v>67</v>
      </c>
      <c r="F538" s="184">
        <v>59.7</v>
      </c>
      <c r="G538" s="184">
        <v>51.2</v>
      </c>
      <c r="H538" s="184">
        <v>42.6</v>
      </c>
      <c r="I538" s="184">
        <v>44</v>
      </c>
    </row>
    <row r="539" spans="3:9">
      <c r="C539" s="375" t="s">
        <v>638</v>
      </c>
      <c r="D539" s="375"/>
      <c r="E539" s="184">
        <v>2.9</v>
      </c>
      <c r="F539" s="184">
        <v>2</v>
      </c>
      <c r="G539" s="184">
        <v>2.6</v>
      </c>
      <c r="H539" s="184">
        <v>2.5</v>
      </c>
      <c r="I539" s="184">
        <v>2.2999999999999998</v>
      </c>
    </row>
    <row r="540" spans="3:9">
      <c r="C540" s="375" t="s">
        <v>562</v>
      </c>
      <c r="D540" s="375"/>
      <c r="E540" s="184">
        <v>72</v>
      </c>
      <c r="F540" s="184">
        <v>64</v>
      </c>
      <c r="G540" s="184">
        <v>53.8</v>
      </c>
      <c r="H540" s="184">
        <v>56.1</v>
      </c>
      <c r="I540" s="184">
        <v>63</v>
      </c>
    </row>
    <row r="541" spans="3:9">
      <c r="C541" s="375" t="s">
        <v>571</v>
      </c>
      <c r="D541" s="375"/>
      <c r="E541" s="184">
        <v>81.599999999999994</v>
      </c>
      <c r="F541" s="184">
        <v>51.2</v>
      </c>
      <c r="G541" s="184">
        <v>57.1</v>
      </c>
      <c r="H541" s="184">
        <v>55</v>
      </c>
      <c r="I541" s="184">
        <v>57.3</v>
      </c>
    </row>
    <row r="542" spans="3:9">
      <c r="C542" s="375" t="s">
        <v>550</v>
      </c>
      <c r="D542" s="375"/>
      <c r="E542" s="184">
        <v>67.400000000000006</v>
      </c>
      <c r="F542" s="184">
        <v>57.2</v>
      </c>
      <c r="G542" s="184">
        <v>61.3</v>
      </c>
      <c r="H542" s="184">
        <v>55</v>
      </c>
      <c r="I542" s="184">
        <v>57.8</v>
      </c>
    </row>
    <row r="543" spans="3:9">
      <c r="C543" s="375" t="s">
        <v>639</v>
      </c>
      <c r="D543" s="375"/>
      <c r="E543" s="271">
        <v>0</v>
      </c>
      <c r="F543" s="271">
        <v>0.2</v>
      </c>
      <c r="G543" s="271">
        <v>0</v>
      </c>
      <c r="H543" s="271">
        <v>0</v>
      </c>
      <c r="I543" s="271">
        <v>0</v>
      </c>
    </row>
    <row r="544" spans="3:9">
      <c r="C544" s="375" t="s">
        <v>640</v>
      </c>
      <c r="D544" s="375"/>
      <c r="E544" s="184">
        <v>9.1999999999999993</v>
      </c>
      <c r="F544" s="184">
        <v>8.3000000000000007</v>
      </c>
      <c r="G544" s="184">
        <v>12.1</v>
      </c>
      <c r="H544" s="184">
        <v>8.1999999999999993</v>
      </c>
      <c r="I544" s="184">
        <v>7.3</v>
      </c>
    </row>
    <row r="545" spans="1:19">
      <c r="C545" s="375" t="s">
        <v>641</v>
      </c>
      <c r="D545" s="375"/>
      <c r="E545" s="184"/>
      <c r="F545" s="184"/>
      <c r="G545" s="184">
        <v>3.6</v>
      </c>
      <c r="H545" s="184">
        <v>5.7</v>
      </c>
      <c r="I545" s="184">
        <v>3.6</v>
      </c>
    </row>
    <row r="546" spans="1:19">
      <c r="C546" t="s">
        <v>673</v>
      </c>
    </row>
    <row r="550" spans="1:19" ht="15" thickBot="1">
      <c r="A550" s="198" t="s">
        <v>21</v>
      </c>
      <c r="B550" s="199"/>
      <c r="C550" s="199"/>
      <c r="D550" s="199"/>
      <c r="E550" s="199"/>
      <c r="F550" s="199"/>
      <c r="G550" s="199"/>
      <c r="H550" s="199"/>
      <c r="I550" s="199"/>
      <c r="J550" s="199"/>
      <c r="K550" s="199"/>
      <c r="L550" s="199"/>
      <c r="M550" s="199"/>
      <c r="N550" s="199"/>
      <c r="O550" s="199"/>
      <c r="P550" s="199"/>
      <c r="Q550" s="199"/>
      <c r="R550" s="199"/>
      <c r="S550" s="199"/>
    </row>
    <row r="552" spans="1:19">
      <c r="E552" s="169">
        <v>2018</v>
      </c>
      <c r="F552" s="169">
        <v>2019</v>
      </c>
      <c r="G552" s="169">
        <v>2020</v>
      </c>
      <c r="H552" s="169">
        <v>2021</v>
      </c>
      <c r="I552" s="169">
        <v>2022</v>
      </c>
      <c r="J552" s="169">
        <v>2023</v>
      </c>
      <c r="K552" s="169">
        <v>2024</v>
      </c>
      <c r="L552" s="169">
        <v>2025</v>
      </c>
      <c r="M552" s="169">
        <v>2026</v>
      </c>
      <c r="N552" s="169">
        <v>2027</v>
      </c>
      <c r="O552" s="169">
        <v>2028</v>
      </c>
      <c r="P552" s="169">
        <v>2029</v>
      </c>
      <c r="Q552" s="169">
        <v>2030</v>
      </c>
    </row>
    <row r="553" spans="1:19" ht="78">
      <c r="B553" s="176" t="s">
        <v>21</v>
      </c>
      <c r="C553" s="171" t="str">
        <f>C17</f>
        <v>ISO 14001 շրջակա միջավայրի կառավարման համապատասխանության սերտիֆիկատների թվաքանակ` ՀՆԱ-ի հաշվով (միավոր/համարժեք գնողունակության ՀՆԱ մլրդ․ ԱՄՆ դոլար)</v>
      </c>
      <c r="D553" s="172" t="s">
        <v>478</v>
      </c>
      <c r="E553" s="169">
        <v>1.8</v>
      </c>
      <c r="F553" s="178">
        <v>1</v>
      </c>
      <c r="G553" s="169">
        <v>0.6</v>
      </c>
      <c r="H553" s="169">
        <v>0.2</v>
      </c>
      <c r="I553" s="169">
        <v>0.5</v>
      </c>
      <c r="J553" s="179">
        <f>I553*((Q553/I553)^(1/8))^(J552-I552)</f>
        <v>0.66676071608166199</v>
      </c>
      <c r="K553" s="179">
        <f>I553*((Q553/I553)^(1/8))^(K552-I552)</f>
        <v>0.88913970501946138</v>
      </c>
      <c r="L553" s="179">
        <f>I553*((Q553/I553)^(1/8))^(L552-I552)</f>
        <v>1.1856868528308275</v>
      </c>
      <c r="M553" s="179">
        <f>I553*((Q553/I553)^(1/8))^(M552-I552)</f>
        <v>1.5811388300841895</v>
      </c>
      <c r="N553" s="179">
        <f>I553*((Q553/I553)^(1/8))^(N552-I552)</f>
        <v>2.1084825171429111</v>
      </c>
      <c r="O553" s="179">
        <f>I553*((Q553/I553)^(1/8))^(O552-I552)</f>
        <v>2.8117066259517451</v>
      </c>
      <c r="P553" s="179">
        <f>I553*((Q553/I553)^(1/8))^(P552-I552)</f>
        <v>3.7494710466622787</v>
      </c>
      <c r="Q553" s="179">
        <v>5</v>
      </c>
    </row>
    <row r="555" spans="1:19">
      <c r="I555" s="217" t="s">
        <v>604</v>
      </c>
      <c r="J555" s="247">
        <f>J553-I553</f>
        <v>0.16676071608166199</v>
      </c>
      <c r="K555" s="247">
        <f t="shared" ref="K555:Q555" si="57">K553-J553</f>
        <v>0.22237898893779939</v>
      </c>
      <c r="L555" s="247">
        <f t="shared" si="57"/>
        <v>0.29654714781136615</v>
      </c>
      <c r="M555" s="247">
        <f t="shared" si="57"/>
        <v>0.39545197725336201</v>
      </c>
      <c r="N555" s="247">
        <f t="shared" si="57"/>
        <v>0.52734368705872159</v>
      </c>
      <c r="O555" s="247">
        <f t="shared" si="57"/>
        <v>0.70322410880883401</v>
      </c>
      <c r="P555" s="247">
        <f t="shared" si="57"/>
        <v>0.93776442071053356</v>
      </c>
      <c r="Q555" s="247">
        <f t="shared" si="57"/>
        <v>1.2505289533377213</v>
      </c>
    </row>
    <row r="557" spans="1:19">
      <c r="C557" s="269" t="s">
        <v>674</v>
      </c>
      <c r="D557" s="272"/>
      <c r="E557" s="270"/>
      <c r="F557" s="270"/>
    </row>
    <row r="558" spans="1:19">
      <c r="C558" s="169"/>
      <c r="D558" s="169"/>
      <c r="E558" s="169">
        <v>2018</v>
      </c>
      <c r="F558" s="169">
        <v>2019</v>
      </c>
      <c r="G558" s="169">
        <v>2020</v>
      </c>
      <c r="H558" s="169">
        <v>2021</v>
      </c>
      <c r="I558" s="169">
        <v>2022</v>
      </c>
    </row>
    <row r="559" spans="1:19">
      <c r="C559" s="169" t="s">
        <v>561</v>
      </c>
      <c r="D559" s="169"/>
      <c r="E559" s="184">
        <v>23.6</v>
      </c>
      <c r="F559" s="184">
        <v>14.4</v>
      </c>
      <c r="G559" s="184">
        <v>29.9</v>
      </c>
      <c r="H559" s="184">
        <v>22.2</v>
      </c>
      <c r="I559" s="184">
        <v>24.9</v>
      </c>
    </row>
    <row r="560" spans="1:19">
      <c r="C560" s="169" t="s">
        <v>633</v>
      </c>
      <c r="D560" s="169"/>
      <c r="E560" s="184">
        <v>3</v>
      </c>
      <c r="F560" s="184">
        <v>13.9</v>
      </c>
      <c r="G560" s="184">
        <v>15.2</v>
      </c>
      <c r="H560" s="184">
        <v>12.3</v>
      </c>
      <c r="I560" s="184">
        <v>11.8</v>
      </c>
    </row>
    <row r="561" spans="3:9">
      <c r="C561" s="169" t="s">
        <v>558</v>
      </c>
      <c r="D561" s="169"/>
      <c r="E561" s="184">
        <v>34.4</v>
      </c>
      <c r="F561" s="184">
        <v>40.799999999999997</v>
      </c>
      <c r="G561" s="184">
        <v>48.8</v>
      </c>
      <c r="H561" s="184">
        <v>100</v>
      </c>
      <c r="I561" s="184">
        <v>100</v>
      </c>
    </row>
    <row r="562" spans="3:9">
      <c r="C562" s="169" t="s">
        <v>527</v>
      </c>
      <c r="D562" s="169"/>
      <c r="E562" s="184">
        <v>91.7</v>
      </c>
      <c r="F562" s="184">
        <v>87.9</v>
      </c>
      <c r="G562" s="184">
        <v>96</v>
      </c>
      <c r="H562" s="184">
        <v>75.5</v>
      </c>
      <c r="I562" s="184">
        <v>77.3</v>
      </c>
    </row>
    <row r="563" spans="3:9">
      <c r="C563" s="169" t="s">
        <v>536</v>
      </c>
      <c r="D563" s="169"/>
      <c r="E563" s="184">
        <v>74.7</v>
      </c>
      <c r="F563" s="184">
        <v>70.099999999999994</v>
      </c>
      <c r="G563" s="184">
        <v>76.5</v>
      </c>
      <c r="H563" s="184">
        <v>60.3</v>
      </c>
      <c r="I563" s="184">
        <v>62.3</v>
      </c>
    </row>
    <row r="564" spans="3:9">
      <c r="C564" s="169" t="s">
        <v>538</v>
      </c>
      <c r="D564" s="169"/>
      <c r="E564" s="184">
        <v>16.5</v>
      </c>
      <c r="F564" s="184">
        <v>63.2</v>
      </c>
      <c r="G564" s="184">
        <v>53.6</v>
      </c>
      <c r="H564" s="184">
        <v>37.9</v>
      </c>
      <c r="I564" s="184">
        <v>40.1</v>
      </c>
    </row>
    <row r="565" spans="3:9">
      <c r="C565" s="169" t="s">
        <v>528</v>
      </c>
      <c r="D565" s="169"/>
      <c r="E565" s="184">
        <v>85.9</v>
      </c>
      <c r="F565" s="184">
        <v>86.8</v>
      </c>
      <c r="G565" s="184">
        <v>86.1</v>
      </c>
      <c r="H565" s="184">
        <v>59.8</v>
      </c>
      <c r="I565" s="184">
        <v>57.4</v>
      </c>
    </row>
    <row r="566" spans="3:9">
      <c r="C566" s="169" t="s">
        <v>531</v>
      </c>
      <c r="D566" s="169"/>
      <c r="E566" s="184">
        <v>88.8</v>
      </c>
      <c r="F566" s="184">
        <v>100</v>
      </c>
      <c r="G566" s="184">
        <v>100</v>
      </c>
      <c r="H566" s="184">
        <v>62.4</v>
      </c>
      <c r="I566" s="184">
        <v>64</v>
      </c>
    </row>
    <row r="567" spans="3:9">
      <c r="C567" s="169" t="s">
        <v>568</v>
      </c>
      <c r="D567" s="169"/>
      <c r="E567" s="184">
        <v>2.2999999999999998</v>
      </c>
      <c r="F567" s="184">
        <v>2.4</v>
      </c>
      <c r="G567" s="184">
        <v>3</v>
      </c>
      <c r="H567" s="184">
        <v>1.5</v>
      </c>
      <c r="I567" s="184">
        <v>2</v>
      </c>
    </row>
    <row r="568" spans="3:9">
      <c r="C568" s="169" t="s">
        <v>542</v>
      </c>
      <c r="D568" s="169"/>
      <c r="E568" s="184">
        <v>60</v>
      </c>
      <c r="F568" s="184">
        <v>56.2</v>
      </c>
      <c r="G568" s="184">
        <v>61.2</v>
      </c>
      <c r="H568" s="184">
        <v>48.6</v>
      </c>
      <c r="I568" s="184">
        <v>54.8</v>
      </c>
    </row>
    <row r="569" spans="3:9">
      <c r="C569" s="169" t="s">
        <v>634</v>
      </c>
      <c r="D569" s="169"/>
      <c r="E569" s="184">
        <v>2.2000000000000002</v>
      </c>
      <c r="F569" s="184">
        <v>2.2000000000000002</v>
      </c>
      <c r="G569" s="184">
        <v>3.7</v>
      </c>
      <c r="H569" s="184">
        <v>2.5</v>
      </c>
      <c r="I569" s="184">
        <v>2.5</v>
      </c>
    </row>
    <row r="570" spans="3:9">
      <c r="C570" s="169" t="s">
        <v>636</v>
      </c>
      <c r="D570" s="169"/>
      <c r="E570" s="184">
        <v>0.2</v>
      </c>
      <c r="F570" s="184">
        <v>0.6</v>
      </c>
      <c r="G570" s="184">
        <v>1.4</v>
      </c>
      <c r="H570" s="184">
        <v>0.6</v>
      </c>
      <c r="I570" s="184">
        <v>0.2</v>
      </c>
    </row>
    <row r="571" spans="3:9">
      <c r="C571" s="169" t="s">
        <v>539</v>
      </c>
      <c r="D571" s="169"/>
      <c r="E571" s="184">
        <v>44.3</v>
      </c>
      <c r="F571" s="184">
        <v>51.2</v>
      </c>
      <c r="G571" s="184">
        <v>46.3</v>
      </c>
      <c r="H571" s="184">
        <v>33.9</v>
      </c>
      <c r="I571" s="184">
        <v>34.1</v>
      </c>
    </row>
    <row r="572" spans="3:9">
      <c r="C572" s="169" t="s">
        <v>540</v>
      </c>
      <c r="D572" s="169"/>
      <c r="E572" s="184">
        <v>56.3</v>
      </c>
      <c r="F572" s="184">
        <v>63.1</v>
      </c>
      <c r="G572" s="184">
        <v>75.3</v>
      </c>
      <c r="H572" s="184">
        <v>58.7</v>
      </c>
      <c r="I572" s="184">
        <v>49.5</v>
      </c>
    </row>
    <row r="573" spans="3:9">
      <c r="C573" s="169" t="s">
        <v>570</v>
      </c>
      <c r="D573" s="169"/>
      <c r="E573" s="184">
        <v>5.5</v>
      </c>
      <c r="F573" s="184">
        <v>1.6</v>
      </c>
      <c r="G573" s="184">
        <v>2.9</v>
      </c>
      <c r="H573" s="184">
        <v>1.7</v>
      </c>
      <c r="I573" s="184">
        <v>2.5</v>
      </c>
    </row>
    <row r="574" spans="3:9">
      <c r="C574" s="169" t="s">
        <v>637</v>
      </c>
      <c r="D574" s="169"/>
      <c r="E574" s="184">
        <v>31.1</v>
      </c>
      <c r="F574" s="184">
        <v>55.4</v>
      </c>
      <c r="G574" s="184">
        <v>74.900000000000006</v>
      </c>
      <c r="H574" s="184">
        <v>61</v>
      </c>
      <c r="I574" s="184">
        <v>68.099999999999994</v>
      </c>
    </row>
    <row r="575" spans="3:9">
      <c r="C575" s="169" t="s">
        <v>546</v>
      </c>
      <c r="D575" s="169"/>
      <c r="E575" s="184">
        <v>21.9</v>
      </c>
      <c r="F575" s="184">
        <v>19</v>
      </c>
      <c r="G575" s="184">
        <v>19</v>
      </c>
      <c r="H575" s="184">
        <v>17.600000000000001</v>
      </c>
      <c r="I575" s="184">
        <v>13.4</v>
      </c>
    </row>
    <row r="576" spans="3:9">
      <c r="C576" s="169" t="s">
        <v>549</v>
      </c>
      <c r="D576" s="169"/>
      <c r="E576" s="184">
        <v>100</v>
      </c>
      <c r="F576" s="184">
        <v>86.6</v>
      </c>
      <c r="G576" s="184">
        <v>73.599999999999994</v>
      </c>
      <c r="H576" s="184">
        <v>48.8</v>
      </c>
      <c r="I576" s="184">
        <v>55.4</v>
      </c>
    </row>
    <row r="577" spans="1:19">
      <c r="C577" s="169" t="s">
        <v>638</v>
      </c>
      <c r="D577" s="169"/>
      <c r="E577" s="184">
        <v>1.8</v>
      </c>
      <c r="F577" s="184">
        <v>1.5</v>
      </c>
      <c r="G577" s="184">
        <v>1.5</v>
      </c>
      <c r="H577" s="184">
        <v>1.2</v>
      </c>
      <c r="I577" s="184">
        <v>1.3</v>
      </c>
    </row>
    <row r="578" spans="1:19">
      <c r="C578" s="169" t="s">
        <v>562</v>
      </c>
      <c r="D578" s="169"/>
      <c r="E578" s="184">
        <v>81.400000000000006</v>
      </c>
      <c r="F578" s="184">
        <v>82.4</v>
      </c>
      <c r="G578" s="184">
        <v>80.599999999999994</v>
      </c>
      <c r="H578" s="184">
        <v>62.5</v>
      </c>
      <c r="I578" s="184">
        <v>79.3</v>
      </c>
    </row>
    <row r="579" spans="1:19">
      <c r="C579" s="169" t="s">
        <v>571</v>
      </c>
      <c r="D579" s="169"/>
      <c r="E579" s="184">
        <v>99.1</v>
      </c>
      <c r="F579" s="184">
        <v>66.599999999999994</v>
      </c>
      <c r="G579" s="184">
        <v>70.5</v>
      </c>
      <c r="H579" s="184">
        <v>57.3</v>
      </c>
      <c r="I579" s="184">
        <v>62.5</v>
      </c>
    </row>
    <row r="580" spans="1:19">
      <c r="C580" s="169" t="s">
        <v>550</v>
      </c>
      <c r="D580" s="169"/>
      <c r="E580" s="184">
        <v>50.3</v>
      </c>
      <c r="F580" s="184">
        <v>46.8</v>
      </c>
      <c r="G580" s="184">
        <v>45.4</v>
      </c>
      <c r="H580" s="184">
        <v>34.299999999999997</v>
      </c>
      <c r="I580" s="184">
        <v>37.5</v>
      </c>
    </row>
    <row r="581" spans="1:19">
      <c r="C581" s="169" t="s">
        <v>639</v>
      </c>
      <c r="D581" s="169"/>
      <c r="E581" s="184">
        <v>0.3</v>
      </c>
      <c r="F581" s="184">
        <v>3.6</v>
      </c>
      <c r="G581" s="184">
        <v>3.4</v>
      </c>
      <c r="H581" s="184">
        <v>0.5</v>
      </c>
      <c r="I581" s="184">
        <v>0.5</v>
      </c>
    </row>
    <row r="582" spans="1:19">
      <c r="C582" s="169" t="s">
        <v>640</v>
      </c>
      <c r="D582" s="169"/>
      <c r="E582" s="184">
        <v>8.9</v>
      </c>
      <c r="F582" s="184">
        <v>4.5</v>
      </c>
      <c r="G582" s="184">
        <v>5.8</v>
      </c>
      <c r="H582" s="184">
        <v>3.2</v>
      </c>
      <c r="I582" s="184">
        <v>3.8</v>
      </c>
    </row>
    <row r="583" spans="1:19">
      <c r="C583" s="169" t="s">
        <v>641</v>
      </c>
      <c r="D583" s="169"/>
      <c r="E583" s="184"/>
      <c r="F583" s="184"/>
      <c r="G583" s="184">
        <v>1</v>
      </c>
      <c r="H583" s="184">
        <v>0.9</v>
      </c>
      <c r="I583" s="184">
        <v>0.6</v>
      </c>
    </row>
    <row r="584" spans="1:19">
      <c r="C584" t="s">
        <v>673</v>
      </c>
    </row>
    <row r="588" spans="1:19" ht="15" thickBot="1">
      <c r="A588" s="198" t="s">
        <v>22</v>
      </c>
      <c r="B588" s="199"/>
      <c r="C588" s="199"/>
      <c r="D588" s="199"/>
      <c r="E588" s="199"/>
      <c r="F588" s="199"/>
      <c r="G588" s="199"/>
      <c r="H588" s="199"/>
      <c r="I588" s="199"/>
      <c r="J588" s="199"/>
      <c r="K588" s="199"/>
      <c r="L588" s="199"/>
      <c r="M588" s="199"/>
      <c r="N588" s="199"/>
      <c r="O588" s="199"/>
      <c r="P588" s="199"/>
      <c r="Q588" s="199"/>
      <c r="R588" s="199"/>
      <c r="S588" s="199"/>
    </row>
    <row r="589" spans="1:19">
      <c r="K589" s="201"/>
      <c r="L589" s="201"/>
      <c r="M589" s="201"/>
      <c r="N589" s="201"/>
    </row>
    <row r="590" spans="1:19">
      <c r="E590" s="169">
        <v>2018</v>
      </c>
      <c r="F590" s="169">
        <v>2019</v>
      </c>
      <c r="G590" s="169">
        <v>2020</v>
      </c>
      <c r="H590" s="169">
        <v>2021</v>
      </c>
      <c r="I590" s="169">
        <v>2022</v>
      </c>
      <c r="J590" s="169">
        <v>2023</v>
      </c>
      <c r="K590" s="169">
        <v>2024</v>
      </c>
      <c r="L590" s="169">
        <v>2025</v>
      </c>
      <c r="M590" s="169">
        <v>2026</v>
      </c>
      <c r="N590" s="169">
        <v>2027</v>
      </c>
      <c r="O590" s="169">
        <v>2028</v>
      </c>
      <c r="P590" s="169">
        <v>2029</v>
      </c>
      <c r="Q590" s="169">
        <v>2030</v>
      </c>
    </row>
    <row r="591" spans="1:19" ht="93.6">
      <c r="B591" s="176" t="s">
        <v>22</v>
      </c>
      <c r="C591" s="171" t="str">
        <f>C18</f>
        <v>Միջին բարդության տեղեկատվական և հեռահաղորդակցության տեխնոլոգիաներ օգտագործող ՓՄՁ սուբյեկտների մասնաբաժին (էլեկտրոնային առևտուր, Ի ԱՐ ՓԻ (ERP), ՍԻ ԱՐ ԷՄ (CRM), ամպային հաշվողական ծառայություններ, %)</v>
      </c>
      <c r="D591" s="172" t="s">
        <v>453</v>
      </c>
      <c r="E591" s="183" t="s">
        <v>54</v>
      </c>
      <c r="F591" s="183" t="s">
        <v>54</v>
      </c>
      <c r="G591" s="183" t="s">
        <v>54</v>
      </c>
      <c r="H591" s="183" t="s">
        <v>54</v>
      </c>
      <c r="I591" s="183" t="s">
        <v>54</v>
      </c>
      <c r="J591" s="178">
        <f>H605*100</f>
        <v>21.090162464124642</v>
      </c>
      <c r="K591" s="179">
        <f>J591*((Q591/J591)^(1/7))^(K590-J590)</f>
        <v>23.109543321564541</v>
      </c>
      <c r="L591" s="179">
        <f>J591*((Q591/J591)^(1/7))^(L590-J590)</f>
        <v>25.322279685598161</v>
      </c>
      <c r="M591" s="179">
        <f>J591*((Q591/J591)^(1/7))^(M590-J590)</f>
        <v>27.746885325825907</v>
      </c>
      <c r="N591" s="179">
        <f>J591*((Q591/J591)^(1/7))^(N590-J590)</f>
        <v>30.403646703357506</v>
      </c>
      <c r="O591" s="179">
        <f>J591*((Q591/J591)^(1/7))^(O590-J590)</f>
        <v>33.314792705839196</v>
      </c>
      <c r="P591" s="179">
        <f>J591*((Q591/J591)^(1/7))^(P590-J590)</f>
        <v>36.504680634592162</v>
      </c>
      <c r="Q591" s="187">
        <v>40</v>
      </c>
    </row>
    <row r="592" spans="1:19">
      <c r="K592" s="201"/>
      <c r="L592" s="201"/>
      <c r="M592" s="201"/>
      <c r="N592" s="201"/>
    </row>
    <row r="593" spans="3:17">
      <c r="J593" s="217" t="s">
        <v>675</v>
      </c>
      <c r="K593" s="241">
        <f>K591-J591</f>
        <v>2.0193808574398986</v>
      </c>
      <c r="L593" s="241">
        <f t="shared" ref="L593:Q593" si="58">L591-K591</f>
        <v>2.2127363640336206</v>
      </c>
      <c r="M593" s="241">
        <f t="shared" si="58"/>
        <v>2.4246056402277461</v>
      </c>
      <c r="N593" s="241">
        <f t="shared" si="58"/>
        <v>2.6567613775315984</v>
      </c>
      <c r="O593" s="241">
        <f t="shared" si="58"/>
        <v>2.91114600248169</v>
      </c>
      <c r="P593" s="241">
        <f t="shared" si="58"/>
        <v>3.1898879287529667</v>
      </c>
      <c r="Q593" s="241">
        <f t="shared" si="58"/>
        <v>3.4953193654078376</v>
      </c>
    </row>
    <row r="594" spans="3:17">
      <c r="K594" s="201"/>
      <c r="L594" s="201"/>
      <c r="M594" s="201"/>
      <c r="N594" s="201"/>
    </row>
    <row r="595" spans="3:17">
      <c r="K595" s="201"/>
      <c r="L595" s="201"/>
      <c r="M595" s="201"/>
      <c r="N595" s="201"/>
    </row>
    <row r="596" spans="3:17">
      <c r="K596" s="201"/>
      <c r="L596" s="201"/>
      <c r="M596" s="201"/>
      <c r="N596" s="201"/>
    </row>
    <row r="597" spans="3:17">
      <c r="K597" s="201"/>
      <c r="L597" s="201"/>
      <c r="M597" s="201"/>
      <c r="N597" s="201"/>
    </row>
    <row r="598" spans="3:17">
      <c r="D598">
        <v>2023</v>
      </c>
      <c r="E598">
        <v>2023</v>
      </c>
      <c r="F598">
        <v>2023</v>
      </c>
      <c r="G598">
        <v>2023</v>
      </c>
      <c r="H598">
        <v>2023</v>
      </c>
    </row>
    <row r="599" spans="3:17">
      <c r="D599" s="273" t="s">
        <v>676</v>
      </c>
      <c r="E599" s="273" t="s">
        <v>677</v>
      </c>
      <c r="F599" s="273" t="s">
        <v>678</v>
      </c>
      <c r="G599" s="273" t="s">
        <v>679</v>
      </c>
      <c r="H599" s="274" t="s">
        <v>617</v>
      </c>
    </row>
    <row r="600" spans="3:17" ht="28.8">
      <c r="C600" s="170" t="s">
        <v>680</v>
      </c>
      <c r="D600" s="169">
        <v>661</v>
      </c>
      <c r="E600" s="169">
        <v>873</v>
      </c>
      <c r="F600" s="169">
        <v>363</v>
      </c>
      <c r="G600" s="169">
        <v>77</v>
      </c>
      <c r="H600" s="169"/>
    </row>
    <row r="601" spans="3:17">
      <c r="C601" s="169" t="s">
        <v>681</v>
      </c>
      <c r="D601" s="275">
        <v>4.3872919818456882E-2</v>
      </c>
      <c r="E601" s="275">
        <v>8.1328751431844218E-2</v>
      </c>
      <c r="F601" s="275">
        <v>0.19559228650137742</v>
      </c>
      <c r="G601" s="275">
        <v>0.20779220779220778</v>
      </c>
      <c r="H601" s="275">
        <f>SUMPRODUCT(D601:F601,D600:F600)/SUM(D600:F600)</f>
        <v>9.0142329994728515E-2</v>
      </c>
      <c r="K601" s="276"/>
      <c r="L601" s="276"/>
      <c r="M601" s="276"/>
      <c r="N601" s="276"/>
    </row>
    <row r="602" spans="3:17">
      <c r="C602" s="169" t="s">
        <v>682</v>
      </c>
      <c r="D602" s="275">
        <v>0.4</v>
      </c>
      <c r="E602" s="275">
        <v>0.34567901234567899</v>
      </c>
      <c r="F602" s="275">
        <v>0.38541666666666669</v>
      </c>
      <c r="G602" s="275">
        <v>0.44827586206896552</v>
      </c>
      <c r="H602" s="275">
        <f>SUMPRODUCT(D602:F602,D600:F600)/SUM(D600:F600)</f>
        <v>0.37221087389445323</v>
      </c>
    </row>
    <row r="603" spans="3:17">
      <c r="C603" s="169" t="s">
        <v>683</v>
      </c>
      <c r="D603" s="275">
        <v>0.24444444444444444</v>
      </c>
      <c r="E603" s="275">
        <v>0.32098765432098764</v>
      </c>
      <c r="F603" s="275">
        <v>0.3125</v>
      </c>
      <c r="G603" s="275">
        <v>0.44827586206896552</v>
      </c>
      <c r="H603" s="275">
        <f>SUMPRODUCT(D603:F603,D600:F600)/SUM(D600:F600)</f>
        <v>0.29269240906694777</v>
      </c>
    </row>
    <row r="604" spans="3:17">
      <c r="C604" s="169" t="s">
        <v>684</v>
      </c>
      <c r="D604" s="275">
        <v>4.2360060514372161E-2</v>
      </c>
      <c r="E604" s="275">
        <v>8.7056128293241691E-2</v>
      </c>
      <c r="F604" s="275">
        <v>0.17630853994490359</v>
      </c>
      <c r="G604" s="275">
        <v>0.18181818181818182</v>
      </c>
      <c r="H604" s="275">
        <f>SUMPRODUCT(D604:F604,D600:F600)/SUM(D600:F600)</f>
        <v>8.8560885608856083E-2</v>
      </c>
      <c r="K604" s="276"/>
      <c r="L604" s="276"/>
      <c r="M604" s="276"/>
      <c r="N604" s="276"/>
    </row>
    <row r="605" spans="3:17">
      <c r="C605" s="169" t="s">
        <v>622</v>
      </c>
      <c r="D605" s="169"/>
      <c r="E605" s="169"/>
      <c r="F605" s="169"/>
      <c r="G605" s="169"/>
      <c r="H605" s="277">
        <f>AVERAGE(H601:H604)</f>
        <v>0.21090162464124643</v>
      </c>
    </row>
    <row r="609" spans="1:19" ht="15" thickBot="1">
      <c r="A609" s="198" t="s">
        <v>24</v>
      </c>
      <c r="B609" s="199"/>
      <c r="C609" s="199"/>
      <c r="D609" s="199"/>
      <c r="E609" s="199"/>
      <c r="F609" s="199"/>
      <c r="G609" s="199"/>
      <c r="H609" s="199"/>
      <c r="I609" s="199"/>
      <c r="J609" s="199"/>
      <c r="K609" s="199"/>
      <c r="L609" s="199"/>
      <c r="M609" s="199"/>
      <c r="N609" s="199"/>
      <c r="O609" s="199"/>
      <c r="P609" s="199"/>
      <c r="Q609" s="199"/>
      <c r="R609" s="199"/>
      <c r="S609" s="199"/>
    </row>
    <row r="611" spans="1:19">
      <c r="E611" s="169">
        <v>2018</v>
      </c>
      <c r="F611" s="169">
        <v>2019</v>
      </c>
      <c r="G611" s="169">
        <v>2020</v>
      </c>
      <c r="H611" s="169">
        <v>2021</v>
      </c>
      <c r="I611" s="169">
        <v>2022</v>
      </c>
      <c r="J611" s="169">
        <v>2023</v>
      </c>
      <c r="K611" s="169">
        <v>2024</v>
      </c>
      <c r="L611" s="169">
        <v>2025</v>
      </c>
      <c r="M611" s="169">
        <v>2026</v>
      </c>
      <c r="N611" s="169">
        <v>2027</v>
      </c>
      <c r="O611" s="169">
        <v>2028</v>
      </c>
      <c r="P611" s="169">
        <v>2029</v>
      </c>
      <c r="Q611" s="169">
        <v>2030</v>
      </c>
    </row>
    <row r="612" spans="1:19" ht="62.4">
      <c r="B612" s="176" t="s">
        <v>24</v>
      </c>
      <c r="C612" s="171" t="str">
        <f>C19</f>
        <v>10 մլն. ԱՄն դոլարից ավելի շրջանառություն ունեցող տնտեսավարողների թվաքանակ (ոչ ֆինանսական բիզնես հատված, միավոր)</v>
      </c>
      <c r="D612" s="172" t="s">
        <v>485</v>
      </c>
      <c r="E612" s="169">
        <v>155</v>
      </c>
      <c r="F612" s="169">
        <v>179</v>
      </c>
      <c r="G612" s="169">
        <v>171</v>
      </c>
      <c r="H612" s="169">
        <v>211</v>
      </c>
      <c r="I612" s="169">
        <v>333</v>
      </c>
      <c r="J612" s="188">
        <f>ROUNDUP(I612*((Q612/I612)^(1/8))^(J611-I611),0)</f>
        <v>351</v>
      </c>
      <c r="K612" s="188">
        <f>ROUNDUP(I612*((Q612/I612)^(1/8))^(K611-I611),0)</f>
        <v>369</v>
      </c>
      <c r="L612" s="188">
        <f>ROUNDUP(I612*((Q612/I612)^(1/8))^(L611-I611),0)</f>
        <v>388</v>
      </c>
      <c r="M612" s="188">
        <f>ROUNDUP(I612*((Q612/I612)^(1/8))^(M611-I611),0)</f>
        <v>409</v>
      </c>
      <c r="N612" s="188">
        <f>ROUNDUP(I612*((Q612/I612)^(1/8))^(N611-I611),0)</f>
        <v>430</v>
      </c>
      <c r="O612" s="188">
        <f>ROUNDUP(I612*((Q612/I612)^(1/8))^(O611-I611),0)</f>
        <v>452</v>
      </c>
      <c r="P612" s="188">
        <f>ROUNDUP(I612*((Q612/I612)^(1/8))^(P611-I611),0)</f>
        <v>476</v>
      </c>
      <c r="Q612" s="189">
        <v>500</v>
      </c>
    </row>
    <row r="614" spans="1:19">
      <c r="I614" s="217" t="s">
        <v>604</v>
      </c>
      <c r="J614" s="278">
        <f>J612-I612</f>
        <v>18</v>
      </c>
      <c r="K614" s="278">
        <f t="shared" ref="K614:Q614" si="59">K612-J612</f>
        <v>18</v>
      </c>
      <c r="L614" s="278">
        <f t="shared" si="59"/>
        <v>19</v>
      </c>
      <c r="M614" s="278">
        <f t="shared" si="59"/>
        <v>21</v>
      </c>
      <c r="N614" s="278">
        <f t="shared" si="59"/>
        <v>21</v>
      </c>
      <c r="O614" s="278">
        <f t="shared" si="59"/>
        <v>22</v>
      </c>
      <c r="P614" s="278">
        <f t="shared" si="59"/>
        <v>24</v>
      </c>
      <c r="Q614" s="278">
        <f t="shared" si="59"/>
        <v>24</v>
      </c>
    </row>
    <row r="617" spans="1:19">
      <c r="C617" s="170"/>
      <c r="D617" s="170"/>
      <c r="E617" s="169">
        <v>2018</v>
      </c>
      <c r="F617" s="169">
        <v>2019</v>
      </c>
      <c r="G617" s="169">
        <v>2020</v>
      </c>
      <c r="H617" s="169">
        <v>2021</v>
      </c>
      <c r="I617" s="169">
        <v>2022</v>
      </c>
      <c r="J617" s="169">
        <v>2023</v>
      </c>
    </row>
    <row r="618" spans="1:19">
      <c r="C618" s="169" t="s">
        <v>576</v>
      </c>
      <c r="D618" s="169"/>
      <c r="E618" s="223">
        <v>482.99</v>
      </c>
      <c r="F618" s="223">
        <v>480.45</v>
      </c>
      <c r="G618" s="223">
        <v>489.01</v>
      </c>
      <c r="H618" s="223">
        <v>503.77</v>
      </c>
      <c r="I618" s="223">
        <v>435.67</v>
      </c>
      <c r="J618" s="223">
        <v>392.48</v>
      </c>
    </row>
    <row r="619" spans="1:19">
      <c r="C619" s="169" t="s">
        <v>685</v>
      </c>
      <c r="D619" s="279">
        <v>10000000</v>
      </c>
      <c r="E619" s="173">
        <f>E618*D619/1000000</f>
        <v>4829.8999999999996</v>
      </c>
      <c r="F619" s="173">
        <f>F618*D619/1000000</f>
        <v>4804.5</v>
      </c>
      <c r="G619" s="173">
        <f>G618*D619/1000000</f>
        <v>4890.1000000000004</v>
      </c>
      <c r="H619" s="173">
        <f>H618*D619/1000000</f>
        <v>5037.7</v>
      </c>
      <c r="I619" s="173">
        <f>I618*D619/1000000</f>
        <v>4356.7</v>
      </c>
      <c r="J619" s="173">
        <f>J618*D619/1000000</f>
        <v>3924.8</v>
      </c>
    </row>
    <row r="622" spans="1:19">
      <c r="E622" s="169">
        <v>2018</v>
      </c>
      <c r="F622" s="169">
        <v>2019</v>
      </c>
      <c r="G622" s="169">
        <v>2020</v>
      </c>
      <c r="H622" s="169">
        <v>2021</v>
      </c>
      <c r="I622" s="169">
        <v>2022</v>
      </c>
    </row>
    <row r="623" spans="1:19" ht="62.4">
      <c r="C623" s="280" t="s">
        <v>686</v>
      </c>
      <c r="D623" s="172" t="s">
        <v>485</v>
      </c>
      <c r="E623" s="169">
        <v>77</v>
      </c>
      <c r="F623" s="169">
        <v>88</v>
      </c>
      <c r="G623" s="169">
        <v>79</v>
      </c>
      <c r="H623" s="169">
        <v>107</v>
      </c>
      <c r="I623" s="169">
        <v>212</v>
      </c>
    </row>
    <row r="627" spans="1:19" ht="15" thickBot="1">
      <c r="A627" s="198" t="s">
        <v>25</v>
      </c>
      <c r="B627" s="199"/>
      <c r="C627" s="199"/>
      <c r="D627" s="199"/>
      <c r="E627" s="199"/>
      <c r="F627" s="199"/>
      <c r="G627" s="199"/>
      <c r="H627" s="199"/>
      <c r="I627" s="199"/>
      <c r="J627" s="199"/>
      <c r="K627" s="199"/>
      <c r="L627" s="199"/>
      <c r="M627" s="199"/>
      <c r="N627" s="199"/>
      <c r="O627" s="199"/>
      <c r="P627" s="199"/>
      <c r="Q627" s="199"/>
      <c r="R627" s="199"/>
      <c r="S627" s="199"/>
    </row>
    <row r="629" spans="1:19">
      <c r="E629" s="169">
        <v>2018</v>
      </c>
      <c r="F629" s="169">
        <v>2019</v>
      </c>
      <c r="G629" s="169">
        <v>2020</v>
      </c>
      <c r="H629" s="169">
        <v>2021</v>
      </c>
      <c r="I629" s="169">
        <v>2022</v>
      </c>
      <c r="J629" s="169">
        <v>2023</v>
      </c>
      <c r="K629" s="169">
        <v>2024</v>
      </c>
      <c r="L629" s="169">
        <v>2025</v>
      </c>
      <c r="M629" s="169">
        <v>2026</v>
      </c>
      <c r="N629" s="169">
        <v>2027</v>
      </c>
      <c r="O629" s="169">
        <v>2028</v>
      </c>
      <c r="P629" s="169">
        <v>2029</v>
      </c>
      <c r="Q629" s="169">
        <v>2030</v>
      </c>
    </row>
    <row r="630" spans="1:19" ht="46.8">
      <c r="B630" s="176" t="s">
        <v>25</v>
      </c>
      <c r="C630" s="171" t="str">
        <f>C20</f>
        <v>Գյուտի արտոնագրերի թիվ` ՀՆԱ-ի հաշվով  (միավոր/համարժեք գնողունակության ՀՆԱ մլրդ․ ԱՄՆ դոլար)</v>
      </c>
      <c r="D630" s="172" t="s">
        <v>478</v>
      </c>
      <c r="E630" s="190" t="s">
        <v>54</v>
      </c>
      <c r="F630" s="190" t="s">
        <v>54</v>
      </c>
      <c r="G630" s="190" t="s">
        <v>54</v>
      </c>
      <c r="H630" s="169">
        <v>20.9</v>
      </c>
      <c r="I630" s="169">
        <v>12.8</v>
      </c>
      <c r="J630" s="179">
        <f>I630*((Q630/I630)^(1/8))^(J629-I629)</f>
        <v>13.917179366662285</v>
      </c>
      <c r="K630" s="179">
        <f>I630*((Q630/I630)^(1/8))^(K629-I629)</f>
        <v>15.131865744050817</v>
      </c>
      <c r="L630" s="179">
        <f>I630*((Q630/I630)^(1/8))^(L629-I629)</f>
        <v>16.452569508766242</v>
      </c>
      <c r="M630" s="179">
        <f>I630*((Q630/I630)^(1/8))^(M629-I629)</f>
        <v>17.888543819998326</v>
      </c>
      <c r="N630" s="179">
        <f>I630*((Q630/I630)^(1/8))^(N629-I629)</f>
        <v>19.449849449321469</v>
      </c>
      <c r="O630" s="179">
        <f>I630*((Q630/I630)^(1/8))^(O629-I629)</f>
        <v>21.147425268811297</v>
      </c>
      <c r="P630" s="179">
        <f>I630*((Q630/I630)^(1/8))^(P629-I629)</f>
        <v>22.99316489133853</v>
      </c>
      <c r="Q630" s="189">
        <v>25</v>
      </c>
    </row>
    <row r="632" spans="1:19">
      <c r="I632" s="217" t="s">
        <v>604</v>
      </c>
      <c r="J632" s="241">
        <f>J630-I630</f>
        <v>1.1171793666622847</v>
      </c>
      <c r="K632" s="241">
        <f t="shared" ref="K632:Q632" si="60">K630-J630</f>
        <v>1.2146863773885315</v>
      </c>
      <c r="L632" s="241">
        <f t="shared" si="60"/>
        <v>1.3207037647154252</v>
      </c>
      <c r="M632" s="241">
        <f t="shared" si="60"/>
        <v>1.4359743112320835</v>
      </c>
      <c r="N632" s="241">
        <f t="shared" si="60"/>
        <v>1.5613056293231438</v>
      </c>
      <c r="O632" s="241">
        <f t="shared" si="60"/>
        <v>1.6975758194898276</v>
      </c>
      <c r="P632" s="241">
        <f t="shared" si="60"/>
        <v>1.8457396225272333</v>
      </c>
      <c r="Q632" s="241">
        <f t="shared" si="60"/>
        <v>2.0068351086614697</v>
      </c>
    </row>
    <row r="634" spans="1:19">
      <c r="C634" s="269" t="s">
        <v>687</v>
      </c>
      <c r="D634" s="272"/>
    </row>
    <row r="635" spans="1:19">
      <c r="C635" s="375"/>
      <c r="D635" s="375"/>
      <c r="E635" s="169">
        <v>2018</v>
      </c>
      <c r="F635" s="169">
        <v>2019</v>
      </c>
      <c r="G635" s="169">
        <v>2020</v>
      </c>
      <c r="H635" s="169">
        <v>2021</v>
      </c>
      <c r="I635" s="169">
        <v>2022</v>
      </c>
    </row>
    <row r="636" spans="1:19">
      <c r="C636" s="375" t="s">
        <v>561</v>
      </c>
      <c r="D636" s="375"/>
      <c r="E636" s="184"/>
      <c r="F636" s="184"/>
      <c r="G636" s="184"/>
      <c r="H636" s="184">
        <v>1.1000000000000001</v>
      </c>
      <c r="I636" s="184">
        <v>1.1000000000000001</v>
      </c>
    </row>
    <row r="637" spans="1:19">
      <c r="C637" s="375" t="s">
        <v>633</v>
      </c>
      <c r="D637" s="375"/>
      <c r="E637" s="184"/>
      <c r="F637" s="184"/>
      <c r="G637" s="184"/>
      <c r="H637" s="184">
        <v>16.3</v>
      </c>
      <c r="I637" s="184">
        <v>17.2</v>
      </c>
    </row>
    <row r="638" spans="1:19">
      <c r="C638" s="375" t="s">
        <v>558</v>
      </c>
      <c r="D638" s="375"/>
      <c r="E638" s="184"/>
      <c r="F638" s="184"/>
      <c r="G638" s="184"/>
      <c r="H638" s="184">
        <v>6.6</v>
      </c>
      <c r="I638" s="184">
        <v>7.8</v>
      </c>
    </row>
    <row r="639" spans="1:19">
      <c r="C639" s="375" t="s">
        <v>527</v>
      </c>
      <c r="D639" s="375"/>
      <c r="E639" s="184"/>
      <c r="F639" s="184"/>
      <c r="G639" s="184"/>
      <c r="H639" s="184">
        <v>9.8000000000000007</v>
      </c>
      <c r="I639" s="184">
        <v>13.8</v>
      </c>
    </row>
    <row r="640" spans="1:19">
      <c r="C640" s="375" t="s">
        <v>536</v>
      </c>
      <c r="D640" s="375"/>
      <c r="E640" s="184"/>
      <c r="F640" s="184"/>
      <c r="G640" s="184"/>
      <c r="H640" s="184">
        <v>13.3</v>
      </c>
      <c r="I640" s="184">
        <v>9.5</v>
      </c>
    </row>
    <row r="641" spans="3:9">
      <c r="C641" s="375" t="s">
        <v>538</v>
      </c>
      <c r="D641" s="375"/>
      <c r="E641" s="184"/>
      <c r="F641" s="184"/>
      <c r="G641" s="184"/>
      <c r="H641" s="184">
        <v>10.5</v>
      </c>
      <c r="I641" s="184">
        <v>14.6</v>
      </c>
    </row>
    <row r="642" spans="3:9">
      <c r="C642" s="375" t="s">
        <v>528</v>
      </c>
      <c r="D642" s="375"/>
      <c r="E642" s="184"/>
      <c r="F642" s="184"/>
      <c r="G642" s="184"/>
      <c r="H642" s="184">
        <v>15.9</v>
      </c>
      <c r="I642" s="184">
        <v>15.6</v>
      </c>
    </row>
    <row r="643" spans="3:9">
      <c r="C643" s="375" t="s">
        <v>531</v>
      </c>
      <c r="D643" s="375"/>
      <c r="E643" s="184"/>
      <c r="F643" s="184"/>
      <c r="G643" s="184"/>
      <c r="H643" s="184">
        <v>11.8</v>
      </c>
      <c r="I643" s="184">
        <v>12.3</v>
      </c>
    </row>
    <row r="644" spans="3:9">
      <c r="C644" s="375" t="s">
        <v>568</v>
      </c>
      <c r="D644" s="375"/>
      <c r="E644" s="184"/>
      <c r="F644" s="184"/>
      <c r="G644" s="184"/>
      <c r="H644" s="184">
        <v>11</v>
      </c>
      <c r="I644" s="184">
        <v>11.4</v>
      </c>
    </row>
    <row r="645" spans="3:9">
      <c r="C645" s="375" t="s">
        <v>542</v>
      </c>
      <c r="D645" s="375"/>
      <c r="E645" s="184"/>
      <c r="F645" s="184"/>
      <c r="G645" s="184"/>
      <c r="H645" s="184">
        <v>11.9</v>
      </c>
      <c r="I645" s="184">
        <v>12.8</v>
      </c>
    </row>
    <row r="646" spans="3:9">
      <c r="C646" s="375" t="s">
        <v>634</v>
      </c>
      <c r="D646" s="375"/>
      <c r="E646" s="184"/>
      <c r="F646" s="184"/>
      <c r="G646" s="184"/>
      <c r="H646" s="184">
        <v>13.9</v>
      </c>
      <c r="I646" s="184">
        <v>13.8</v>
      </c>
    </row>
    <row r="647" spans="3:9">
      <c r="C647" s="375" t="s">
        <v>636</v>
      </c>
      <c r="D647" s="375"/>
      <c r="E647" s="184"/>
      <c r="F647" s="184"/>
      <c r="G647" s="184"/>
      <c r="H647" s="184">
        <v>21.3</v>
      </c>
      <c r="I647" s="184">
        <v>16.600000000000001</v>
      </c>
    </row>
    <row r="648" spans="3:9">
      <c r="C648" s="375" t="s">
        <v>539</v>
      </c>
      <c r="D648" s="375"/>
      <c r="E648" s="184"/>
      <c r="F648" s="184"/>
      <c r="G648" s="184"/>
      <c r="H648" s="184">
        <v>12.7</v>
      </c>
      <c r="I648" s="184">
        <v>15.7</v>
      </c>
    </row>
    <row r="649" spans="3:9">
      <c r="C649" s="375" t="s">
        <v>540</v>
      </c>
      <c r="D649" s="375"/>
      <c r="E649" s="184"/>
      <c r="F649" s="184"/>
      <c r="G649" s="184"/>
      <c r="H649" s="184">
        <v>8.3000000000000007</v>
      </c>
      <c r="I649" s="184">
        <v>10.4</v>
      </c>
    </row>
    <row r="650" spans="3:9">
      <c r="C650" s="375" t="s">
        <v>570</v>
      </c>
      <c r="D650" s="375"/>
      <c r="E650" s="184"/>
      <c r="F650" s="184"/>
      <c r="G650" s="184"/>
      <c r="H650" s="184">
        <v>17.7</v>
      </c>
      <c r="I650" s="184">
        <v>19.3</v>
      </c>
    </row>
    <row r="651" spans="3:9">
      <c r="C651" s="375" t="s">
        <v>637</v>
      </c>
      <c r="D651" s="375"/>
      <c r="E651" s="184"/>
      <c r="F651" s="184"/>
      <c r="G651" s="184"/>
      <c r="H651" s="184">
        <v>12.3</v>
      </c>
      <c r="I651" s="184">
        <v>10.7</v>
      </c>
    </row>
    <row r="652" spans="3:9">
      <c r="C652" s="375" t="s">
        <v>546</v>
      </c>
      <c r="D652" s="375"/>
      <c r="E652" s="184"/>
      <c r="F652" s="184"/>
      <c r="G652" s="184"/>
      <c r="H652" s="184">
        <v>25</v>
      </c>
      <c r="I652" s="184">
        <v>26.9</v>
      </c>
    </row>
    <row r="653" spans="3:9">
      <c r="C653" s="375" t="s">
        <v>549</v>
      </c>
      <c r="D653" s="375"/>
      <c r="E653" s="184"/>
      <c r="F653" s="184"/>
      <c r="G653" s="184"/>
      <c r="H653" s="184">
        <v>11.4</v>
      </c>
      <c r="I653" s="184">
        <v>11.5</v>
      </c>
    </row>
    <row r="654" spans="3:9">
      <c r="C654" s="375" t="s">
        <v>638</v>
      </c>
      <c r="D654" s="375"/>
      <c r="E654" s="184"/>
      <c r="F654" s="184"/>
      <c r="G654" s="184"/>
      <c r="H654" s="184">
        <v>43.2</v>
      </c>
      <c r="I654" s="184">
        <v>45.8</v>
      </c>
    </row>
    <row r="655" spans="3:9">
      <c r="C655" s="375" t="s">
        <v>562</v>
      </c>
      <c r="D655" s="375"/>
      <c r="E655" s="184"/>
      <c r="F655" s="184"/>
      <c r="G655" s="184"/>
      <c r="H655" s="184">
        <v>10.1</v>
      </c>
      <c r="I655" s="184">
        <v>8.5</v>
      </c>
    </row>
    <row r="656" spans="3:9">
      <c r="C656" s="375" t="s">
        <v>571</v>
      </c>
      <c r="D656" s="375"/>
      <c r="E656" s="184"/>
      <c r="F656" s="184"/>
      <c r="G656" s="184"/>
      <c r="H656" s="184">
        <v>10</v>
      </c>
      <c r="I656" s="184">
        <v>11.3</v>
      </c>
    </row>
    <row r="657" spans="1:19">
      <c r="C657" s="375" t="s">
        <v>550</v>
      </c>
      <c r="D657" s="375"/>
      <c r="E657" s="184"/>
      <c r="F657" s="184"/>
      <c r="G657" s="184"/>
      <c r="H657" s="184">
        <v>33</v>
      </c>
      <c r="I657" s="184">
        <v>34</v>
      </c>
    </row>
    <row r="658" spans="1:19">
      <c r="C658" s="375" t="s">
        <v>639</v>
      </c>
      <c r="D658" s="375"/>
      <c r="E658" s="271"/>
      <c r="F658" s="271"/>
      <c r="G658" s="271"/>
      <c r="H658" s="184">
        <v>3.2</v>
      </c>
      <c r="I658" s="184">
        <v>0.9</v>
      </c>
    </row>
    <row r="659" spans="1:19">
      <c r="C659" s="375" t="s">
        <v>640</v>
      </c>
      <c r="D659" s="375"/>
      <c r="E659" s="184"/>
      <c r="F659" s="184"/>
      <c r="G659" s="184"/>
      <c r="H659" s="184">
        <v>28.1</v>
      </c>
      <c r="I659" s="184">
        <v>19.399999999999999</v>
      </c>
    </row>
    <row r="660" spans="1:19">
      <c r="C660" s="375" t="s">
        <v>641</v>
      </c>
      <c r="D660" s="375"/>
      <c r="E660" s="184"/>
      <c r="F660" s="184"/>
      <c r="G660" s="184"/>
      <c r="H660" s="184">
        <v>11.5</v>
      </c>
      <c r="I660" s="184">
        <v>10.4</v>
      </c>
    </row>
    <row r="661" spans="1:19">
      <c r="C661" t="s">
        <v>673</v>
      </c>
    </row>
    <row r="665" spans="1:19" ht="15" thickBot="1">
      <c r="A665" s="198" t="s">
        <v>26</v>
      </c>
      <c r="B665" s="199"/>
      <c r="C665" s="199"/>
      <c r="D665" s="199"/>
      <c r="E665" s="199"/>
      <c r="F665" s="199"/>
      <c r="G665" s="199"/>
      <c r="H665" s="199"/>
      <c r="I665" s="199"/>
      <c r="J665" s="199"/>
      <c r="K665" s="199"/>
      <c r="L665" s="199"/>
      <c r="M665" s="199"/>
      <c r="N665" s="199"/>
      <c r="O665" s="199"/>
      <c r="P665" s="199"/>
      <c r="Q665" s="199"/>
      <c r="R665" s="199"/>
      <c r="S665" s="199"/>
    </row>
    <row r="667" spans="1:19">
      <c r="E667" s="169">
        <v>2018</v>
      </c>
      <c r="F667" s="169">
        <v>2019</v>
      </c>
      <c r="G667" s="169">
        <v>2020</v>
      </c>
      <c r="H667" s="169">
        <v>2021</v>
      </c>
      <c r="I667" s="169">
        <v>2022</v>
      </c>
      <c r="J667" s="169">
        <v>2023</v>
      </c>
      <c r="K667" s="169">
        <v>2024</v>
      </c>
      <c r="L667" s="169">
        <v>2025</v>
      </c>
      <c r="M667" s="169">
        <v>2026</v>
      </c>
      <c r="N667" s="169">
        <v>2027</v>
      </c>
      <c r="O667" s="169">
        <v>2028</v>
      </c>
      <c r="P667" s="169">
        <v>2029</v>
      </c>
      <c r="Q667" s="169">
        <v>2030</v>
      </c>
    </row>
    <row r="668" spans="1:19" ht="46.8">
      <c r="B668" s="176" t="s">
        <v>26</v>
      </c>
      <c r="C668" s="171" t="str">
        <f>C21</f>
        <v>Օգտակար մոդելի արտոնագրերի թիվ` ՀՆԱ-ի հաշվով  (միավոր/համարժեք գնողունակության ՀՆԱ մլրդ․ ԱՄՆ դոլար)</v>
      </c>
      <c r="D668" s="172" t="s">
        <v>478</v>
      </c>
      <c r="E668" s="190" t="s">
        <v>54</v>
      </c>
      <c r="F668" s="190" t="s">
        <v>54</v>
      </c>
      <c r="G668" s="190" t="s">
        <v>54</v>
      </c>
      <c r="H668" s="178">
        <v>23.1</v>
      </c>
      <c r="I668" s="178">
        <v>13.6</v>
      </c>
      <c r="J668" s="179">
        <f>I668*((Q668/I668)^(1/8))^(J667-I667)</f>
        <v>14.675369536467768</v>
      </c>
      <c r="K668" s="179">
        <f>I668*((Q668/I668)^(1/8))^(K667-I667)</f>
        <v>15.835769928815159</v>
      </c>
      <c r="L668" s="179">
        <f>I668*((Q668/I668)^(1/8))^(L667-I667)</f>
        <v>17.087924676459288</v>
      </c>
      <c r="M668" s="179">
        <f>I668*((Q668/I668)^(1/8))^(M667-I667)</f>
        <v>18.439088914585767</v>
      </c>
      <c r="N668" s="179">
        <f>I668*((Q668/I668)^(1/8))^(N667-I667)</f>
        <v>19.897091451274449</v>
      </c>
      <c r="O668" s="179">
        <f>I668*((Q668/I668)^(1/8))^(O667-I667)</f>
        <v>21.470380128554872</v>
      </c>
      <c r="P668" s="179">
        <f>I668*((Q668/I668)^(1/8))^(P667-I667)</f>
        <v>23.168070770218904</v>
      </c>
      <c r="Q668" s="179">
        <v>25</v>
      </c>
    </row>
    <row r="670" spans="1:19">
      <c r="I670" s="217" t="s">
        <v>604</v>
      </c>
      <c r="J670" s="241">
        <f>J668-I668</f>
        <v>1.0753695364677682</v>
      </c>
      <c r="K670" s="241">
        <f t="shared" ref="K670:Q670" si="61">K668-J668</f>
        <v>1.1604003923473911</v>
      </c>
      <c r="L670" s="241">
        <f t="shared" si="61"/>
        <v>1.2521547476441288</v>
      </c>
      <c r="M670" s="241">
        <f t="shared" si="61"/>
        <v>1.3511642381264792</v>
      </c>
      <c r="N670" s="241">
        <f t="shared" si="61"/>
        <v>1.4580025366886815</v>
      </c>
      <c r="O670" s="241">
        <f t="shared" si="61"/>
        <v>1.5732886772804235</v>
      </c>
      <c r="P670" s="241">
        <f t="shared" si="61"/>
        <v>1.6976906416640318</v>
      </c>
      <c r="Q670" s="241">
        <f t="shared" si="61"/>
        <v>1.8319292297810961</v>
      </c>
    </row>
    <row r="672" spans="1:19">
      <c r="C672" s="269" t="s">
        <v>688</v>
      </c>
      <c r="D672" s="272"/>
      <c r="E672" s="270"/>
    </row>
    <row r="673" spans="3:9">
      <c r="C673" s="375"/>
      <c r="D673" s="375"/>
      <c r="E673" s="169">
        <v>2018</v>
      </c>
      <c r="F673" s="169">
        <v>2019</v>
      </c>
      <c r="G673" s="169">
        <v>2020</v>
      </c>
      <c r="H673" s="169">
        <v>2021</v>
      </c>
      <c r="I673" s="169">
        <v>2022</v>
      </c>
    </row>
    <row r="674" spans="3:9">
      <c r="C674" s="375" t="s">
        <v>561</v>
      </c>
      <c r="D674" s="375"/>
      <c r="E674" s="184"/>
      <c r="F674" s="184"/>
      <c r="G674" s="184"/>
      <c r="H674" s="184">
        <v>0.7</v>
      </c>
      <c r="I674" s="184">
        <v>1.1000000000000001</v>
      </c>
    </row>
    <row r="675" spans="3:9">
      <c r="C675" s="375" t="s">
        <v>633</v>
      </c>
      <c r="D675" s="375"/>
      <c r="E675" s="184"/>
      <c r="F675" s="184"/>
      <c r="G675" s="184"/>
      <c r="H675" s="184">
        <v>38.4</v>
      </c>
      <c r="I675" s="184">
        <v>31.6</v>
      </c>
    </row>
    <row r="676" spans="3:9">
      <c r="C676" s="375" t="s">
        <v>558</v>
      </c>
      <c r="D676" s="375"/>
      <c r="E676" s="184"/>
      <c r="F676" s="184"/>
      <c r="G676" s="184"/>
      <c r="H676" s="184">
        <v>0</v>
      </c>
      <c r="I676" s="184">
        <v>0</v>
      </c>
    </row>
    <row r="677" spans="3:9">
      <c r="C677" s="375" t="s">
        <v>527</v>
      </c>
      <c r="D677" s="375"/>
      <c r="E677" s="184"/>
      <c r="F677" s="184"/>
      <c r="G677" s="184"/>
      <c r="H677" s="184">
        <v>70.099999999999994</v>
      </c>
      <c r="I677" s="184">
        <v>72.8</v>
      </c>
    </row>
    <row r="678" spans="3:9">
      <c r="C678" s="375" t="s">
        <v>536</v>
      </c>
      <c r="D678" s="375"/>
      <c r="E678" s="184"/>
      <c r="F678" s="184"/>
      <c r="G678" s="184"/>
      <c r="H678" s="184">
        <v>11.9</v>
      </c>
      <c r="I678" s="184">
        <v>3.4</v>
      </c>
    </row>
    <row r="679" spans="3:9">
      <c r="C679" s="375" t="s">
        <v>538</v>
      </c>
      <c r="D679" s="375"/>
      <c r="E679" s="184"/>
      <c r="F679" s="184"/>
      <c r="G679" s="184"/>
      <c r="H679" s="184">
        <v>0</v>
      </c>
      <c r="I679" s="184">
        <v>0</v>
      </c>
    </row>
    <row r="680" spans="3:9">
      <c r="C680" s="375" t="s">
        <v>528</v>
      </c>
      <c r="D680" s="375"/>
      <c r="E680" s="184"/>
      <c r="F680" s="184"/>
      <c r="G680" s="184"/>
      <c r="H680" s="184">
        <v>72.900000000000006</v>
      </c>
      <c r="I680" s="184">
        <v>65.599999999999994</v>
      </c>
    </row>
    <row r="681" spans="3:9">
      <c r="C681" s="375" t="s">
        <v>531</v>
      </c>
      <c r="D681" s="375"/>
      <c r="E681" s="184"/>
      <c r="F681" s="184"/>
      <c r="G681" s="184"/>
      <c r="H681" s="184">
        <v>33</v>
      </c>
      <c r="I681" s="184">
        <v>16.3</v>
      </c>
    </row>
    <row r="682" spans="3:9">
      <c r="C682" s="375" t="s">
        <v>568</v>
      </c>
      <c r="D682" s="375"/>
      <c r="E682" s="184"/>
      <c r="F682" s="184"/>
      <c r="G682" s="184"/>
      <c r="H682" s="184">
        <v>33</v>
      </c>
      <c r="I682" s="184">
        <v>21.5</v>
      </c>
    </row>
    <row r="683" spans="3:9">
      <c r="C683" s="375" t="s">
        <v>542</v>
      </c>
      <c r="D683" s="375"/>
      <c r="E683" s="184"/>
      <c r="F683" s="184"/>
      <c r="G683" s="184"/>
      <c r="H683" s="184">
        <v>18.899999999999999</v>
      </c>
      <c r="I683" s="184">
        <v>14.9</v>
      </c>
    </row>
    <row r="684" spans="3:9">
      <c r="C684" s="375" t="s">
        <v>634</v>
      </c>
      <c r="D684" s="375"/>
      <c r="E684" s="184"/>
      <c r="F684" s="184"/>
      <c r="G684" s="184"/>
      <c r="H684" s="184">
        <v>42.8</v>
      </c>
      <c r="I684" s="184">
        <v>36.5</v>
      </c>
    </row>
    <row r="685" spans="3:9">
      <c r="C685" s="375" t="s">
        <v>636</v>
      </c>
      <c r="D685" s="375"/>
      <c r="E685" s="184"/>
      <c r="F685" s="184"/>
      <c r="G685" s="184"/>
      <c r="H685" s="184">
        <v>12.7</v>
      </c>
      <c r="I685" s="184">
        <v>13.1</v>
      </c>
    </row>
    <row r="686" spans="3:9">
      <c r="C686" s="375" t="s">
        <v>539</v>
      </c>
      <c r="D686" s="375"/>
      <c r="E686" s="184"/>
      <c r="F686" s="184"/>
      <c r="G686" s="184"/>
      <c r="H686" s="184">
        <v>0</v>
      </c>
      <c r="I686" s="184">
        <v>0</v>
      </c>
    </row>
    <row r="687" spans="3:9">
      <c r="C687" s="375" t="s">
        <v>540</v>
      </c>
      <c r="D687" s="375"/>
      <c r="E687" s="184"/>
      <c r="F687" s="184"/>
      <c r="G687" s="184"/>
      <c r="H687" s="184">
        <v>0</v>
      </c>
      <c r="I687" s="184">
        <v>0</v>
      </c>
    </row>
    <row r="688" spans="3:9">
      <c r="C688" s="375" t="s">
        <v>570</v>
      </c>
      <c r="D688" s="375"/>
      <c r="E688" s="184"/>
      <c r="F688" s="184"/>
      <c r="G688" s="184"/>
      <c r="H688" s="184">
        <v>100</v>
      </c>
      <c r="I688" s="184">
        <v>100</v>
      </c>
    </row>
    <row r="689" spans="1:19">
      <c r="C689" s="375" t="s">
        <v>637</v>
      </c>
      <c r="D689" s="375"/>
      <c r="E689" s="184"/>
      <c r="F689" s="184"/>
      <c r="G689" s="184"/>
      <c r="H689" s="184">
        <v>0</v>
      </c>
      <c r="I689" s="184">
        <v>0</v>
      </c>
    </row>
    <row r="690" spans="1:19">
      <c r="C690" s="375" t="s">
        <v>546</v>
      </c>
      <c r="D690" s="375"/>
      <c r="E690" s="184"/>
      <c r="F690" s="184"/>
      <c r="G690" s="184"/>
      <c r="H690" s="184">
        <v>17.2</v>
      </c>
      <c r="I690" s="184">
        <v>13.7</v>
      </c>
    </row>
    <row r="691" spans="1:19">
      <c r="C691" s="375" t="s">
        <v>549</v>
      </c>
      <c r="D691" s="375"/>
      <c r="E691" s="184"/>
      <c r="F691" s="184"/>
      <c r="G691" s="184"/>
      <c r="H691" s="184">
        <v>1.8</v>
      </c>
      <c r="I691" s="184">
        <v>2.4</v>
      </c>
    </row>
    <row r="692" spans="1:19">
      <c r="C692" s="375" t="s">
        <v>638</v>
      </c>
      <c r="D692" s="375"/>
      <c r="E692" s="184"/>
      <c r="F692" s="184"/>
      <c r="G692" s="184"/>
      <c r="H692" s="184">
        <v>61.8</v>
      </c>
      <c r="I692" s="184">
        <v>48.4</v>
      </c>
    </row>
    <row r="693" spans="1:19">
      <c r="C693" s="375" t="s">
        <v>562</v>
      </c>
      <c r="D693" s="375"/>
      <c r="E693" s="184"/>
      <c r="F693" s="184"/>
      <c r="G693" s="184"/>
      <c r="H693" s="184">
        <v>15.7</v>
      </c>
      <c r="I693" s="184">
        <v>13.8</v>
      </c>
    </row>
    <row r="694" spans="1:19">
      <c r="C694" s="375" t="s">
        <v>571</v>
      </c>
      <c r="D694" s="375"/>
      <c r="E694" s="184"/>
      <c r="F694" s="184"/>
      <c r="G694" s="184"/>
      <c r="H694" s="184">
        <v>39.700000000000003</v>
      </c>
      <c r="I694" s="184">
        <v>42.7</v>
      </c>
    </row>
    <row r="695" spans="1:19">
      <c r="C695" s="375" t="s">
        <v>550</v>
      </c>
      <c r="D695" s="375"/>
      <c r="E695" s="184"/>
      <c r="F695" s="184"/>
      <c r="G695" s="184"/>
      <c r="H695" s="184">
        <v>4.0999999999999996</v>
      </c>
      <c r="I695" s="184">
        <v>0</v>
      </c>
    </row>
    <row r="696" spans="1:19">
      <c r="C696" s="375" t="s">
        <v>639</v>
      </c>
      <c r="D696" s="375"/>
      <c r="E696" s="271"/>
      <c r="F696" s="271"/>
      <c r="G696" s="271"/>
      <c r="H696" s="184">
        <v>93.6</v>
      </c>
      <c r="I696" s="184">
        <v>79.8</v>
      </c>
    </row>
    <row r="697" spans="1:19">
      <c r="C697" s="375" t="s">
        <v>640</v>
      </c>
      <c r="D697" s="375"/>
      <c r="E697" s="184"/>
      <c r="F697" s="184"/>
      <c r="G697" s="184"/>
      <c r="H697" s="184">
        <v>100</v>
      </c>
      <c r="I697" s="184">
        <v>100</v>
      </c>
    </row>
    <row r="698" spans="1:19">
      <c r="C698" s="375" t="s">
        <v>641</v>
      </c>
      <c r="D698" s="375"/>
      <c r="E698" s="184"/>
      <c r="F698" s="184"/>
      <c r="G698" s="184"/>
      <c r="H698" s="184">
        <v>29.2</v>
      </c>
      <c r="I698" s="184">
        <v>28.9</v>
      </c>
    </row>
    <row r="699" spans="1:19">
      <c r="C699" t="s">
        <v>673</v>
      </c>
    </row>
    <row r="703" spans="1:19" ht="15" thickBot="1">
      <c r="A703" s="198" t="s">
        <v>28</v>
      </c>
      <c r="B703" s="199"/>
      <c r="C703" s="199"/>
      <c r="D703" s="199"/>
      <c r="E703" s="199"/>
      <c r="F703" s="199"/>
      <c r="G703" s="199"/>
      <c r="H703" s="199"/>
      <c r="I703" s="199"/>
      <c r="J703" s="199"/>
      <c r="K703" s="199"/>
      <c r="L703" s="199"/>
      <c r="M703" s="199"/>
      <c r="N703" s="199"/>
      <c r="O703" s="199"/>
      <c r="P703" s="199"/>
      <c r="Q703" s="199"/>
      <c r="R703" s="199"/>
      <c r="S703" s="199"/>
    </row>
    <row r="705" spans="2:17">
      <c r="E705" s="169">
        <v>2018</v>
      </c>
      <c r="F705" s="169">
        <v>2019</v>
      </c>
      <c r="G705" s="169">
        <v>2020</v>
      </c>
      <c r="H705" s="169">
        <v>2021</v>
      </c>
      <c r="I705" s="169">
        <v>2022</v>
      </c>
      <c r="J705" s="169">
        <v>2023</v>
      </c>
      <c r="K705" s="169">
        <v>2024</v>
      </c>
      <c r="L705" s="169">
        <v>2025</v>
      </c>
      <c r="M705" s="169">
        <v>2026</v>
      </c>
      <c r="N705" s="169">
        <v>2027</v>
      </c>
      <c r="O705" s="169">
        <v>2028</v>
      </c>
      <c r="P705" s="169">
        <v>2029</v>
      </c>
      <c r="Q705" s="169">
        <v>2030</v>
      </c>
    </row>
    <row r="706" spans="2:17" ht="78">
      <c r="B706" s="176" t="s">
        <v>28</v>
      </c>
      <c r="C706" s="171" t="str">
        <f>C22</f>
        <v>ՀՀ պետական բյուջեի՝ ՓՄՁ աջակցության ծախսերի հարաբերություն շահութահարկի, ԱԱՀ-ի ու շրջանառության հարկի գծով եկամուտներին, %</v>
      </c>
      <c r="D706" s="172" t="s">
        <v>453</v>
      </c>
      <c r="E706" s="194">
        <f>E712/E724</f>
        <v>0.29083031642408308</v>
      </c>
      <c r="F706" s="194">
        <f>F712/F724</f>
        <v>0.23721971037742959</v>
      </c>
      <c r="G706" s="194">
        <f>G712/G724</f>
        <v>0.28305110918102983</v>
      </c>
      <c r="H706" s="194">
        <f>H712/H724</f>
        <v>0.24513934803803517</v>
      </c>
      <c r="I706" s="194">
        <f>I712/I724</f>
        <v>0.16975297187652094</v>
      </c>
      <c r="J706" s="194">
        <f>J714/J724</f>
        <v>0.14032326701192541</v>
      </c>
      <c r="K706" s="179">
        <f>J706*((Q706/J706)^(1/7))^(K705-J705)</f>
        <v>0.18576688701897964</v>
      </c>
      <c r="L706" s="179">
        <f>J706*((Q706/J706)^(1/7))^(L705-J705)</f>
        <v>0.24592740069107402</v>
      </c>
      <c r="M706" s="179">
        <f>J706*((Q706/J706)^(1/7))^(M705-J705)</f>
        <v>0.32557086669858903</v>
      </c>
      <c r="N706" s="179">
        <f>J706*((Q706/J706)^(1/7))^(N705-J705)</f>
        <v>0.43100682943426727</v>
      </c>
      <c r="O706" s="179">
        <f>J706*((Q706/J706)^(1/7))^(O705-J705)</f>
        <v>0.57058817609427281</v>
      </c>
      <c r="P706" s="179">
        <f>J706*((Q706/J706)^(1/7))^(P705-J705)</f>
        <v>0.75537287222554694</v>
      </c>
      <c r="Q706" s="179">
        <v>1</v>
      </c>
    </row>
    <row r="708" spans="2:17">
      <c r="J708" s="217" t="s">
        <v>675</v>
      </c>
      <c r="K708" s="241">
        <f>K706-J706</f>
        <v>4.5443620007054236E-2</v>
      </c>
      <c r="L708" s="241">
        <f t="shared" ref="L708:Q708" si="62">L706-K706</f>
        <v>6.0160513672094379E-2</v>
      </c>
      <c r="M708" s="241">
        <f t="shared" si="62"/>
        <v>7.9643466007515012E-2</v>
      </c>
      <c r="N708" s="241">
        <f t="shared" si="62"/>
        <v>0.10543596273567823</v>
      </c>
      <c r="O708" s="241">
        <f t="shared" si="62"/>
        <v>0.13958134666000555</v>
      </c>
      <c r="P708" s="241">
        <f t="shared" si="62"/>
        <v>0.18478469613127413</v>
      </c>
      <c r="Q708" s="241">
        <f t="shared" si="62"/>
        <v>0.24462712777445306</v>
      </c>
    </row>
    <row r="711" spans="2:17">
      <c r="E711" s="169">
        <v>2018</v>
      </c>
      <c r="F711" s="169">
        <v>2019</v>
      </c>
      <c r="G711" s="169">
        <v>2020</v>
      </c>
      <c r="H711" s="169">
        <v>2021</v>
      </c>
      <c r="I711" s="169">
        <v>2022</v>
      </c>
      <c r="J711" s="169">
        <v>2023</v>
      </c>
    </row>
    <row r="712" spans="2:17" ht="28.8">
      <c r="C712" s="170" t="s">
        <v>689</v>
      </c>
      <c r="D712" s="281" t="s">
        <v>690</v>
      </c>
      <c r="E712" s="282">
        <v>183120</v>
      </c>
      <c r="F712" s="282">
        <v>183120</v>
      </c>
      <c r="G712" s="282">
        <v>183120</v>
      </c>
      <c r="H712" s="282">
        <v>183120</v>
      </c>
      <c r="I712" s="283">
        <v>160092.5</v>
      </c>
      <c r="J712" s="284" t="s">
        <v>54</v>
      </c>
    </row>
    <row r="713" spans="2:17" ht="43.2">
      <c r="C713" s="170" t="s">
        <v>691</v>
      </c>
      <c r="D713" s="170" t="s">
        <v>690</v>
      </c>
      <c r="J713" s="173">
        <v>9967192.5</v>
      </c>
    </row>
    <row r="714" spans="2:17" ht="43.2">
      <c r="C714" s="285" t="s">
        <v>692</v>
      </c>
      <c r="D714" s="170" t="s">
        <v>690</v>
      </c>
      <c r="J714" s="173">
        <v>160092.5</v>
      </c>
    </row>
    <row r="715" spans="2:17" ht="57.6">
      <c r="C715" s="285" t="s">
        <v>693</v>
      </c>
      <c r="D715" s="170" t="s">
        <v>690</v>
      </c>
      <c r="J715" s="173">
        <v>1573200</v>
      </c>
    </row>
    <row r="716" spans="2:17" ht="43.2">
      <c r="C716" s="285" t="s">
        <v>694</v>
      </c>
      <c r="D716" s="170" t="s">
        <v>690</v>
      </c>
      <c r="E716" s="286"/>
      <c r="F716" s="286"/>
      <c r="G716" s="286"/>
      <c r="H716" s="286"/>
      <c r="I716" s="286"/>
      <c r="J716" s="173">
        <v>8233900</v>
      </c>
    </row>
    <row r="717" spans="2:17">
      <c r="J717" s="287"/>
    </row>
    <row r="718" spans="2:17">
      <c r="J718" s="287"/>
    </row>
    <row r="719" spans="2:17">
      <c r="C719" t="s">
        <v>695</v>
      </c>
      <c r="J719" s="287"/>
    </row>
    <row r="720" spans="2:17">
      <c r="C720" s="169"/>
      <c r="D720" s="169"/>
      <c r="E720" s="169">
        <v>2018</v>
      </c>
      <c r="F720" s="169">
        <v>2019</v>
      </c>
      <c r="G720" s="169">
        <v>2020</v>
      </c>
      <c r="H720" s="169">
        <v>2021</v>
      </c>
      <c r="I720" s="169">
        <v>2022</v>
      </c>
      <c r="J720" s="169">
        <v>2023</v>
      </c>
    </row>
    <row r="721" spans="1:19">
      <c r="C721" s="242" t="s">
        <v>696</v>
      </c>
      <c r="D721" s="170" t="s">
        <v>690</v>
      </c>
      <c r="E721" s="173">
        <v>438219.3</v>
      </c>
      <c r="F721" s="173">
        <v>506455.4</v>
      </c>
      <c r="G721" s="173">
        <v>471587.9</v>
      </c>
      <c r="H721" s="173">
        <v>555986.4</v>
      </c>
      <c r="I721" s="173">
        <v>679555.6</v>
      </c>
      <c r="J721" s="173">
        <v>767173.5</v>
      </c>
    </row>
    <row r="722" spans="1:19">
      <c r="C722" s="242" t="s">
        <v>697</v>
      </c>
      <c r="D722" s="170" t="s">
        <v>690</v>
      </c>
      <c r="E722" s="173">
        <v>170086.9</v>
      </c>
      <c r="F722" s="173">
        <v>233846.9</v>
      </c>
      <c r="G722" s="173">
        <v>148763.20000000001</v>
      </c>
      <c r="H722" s="173">
        <v>158602.79999999999</v>
      </c>
      <c r="I722" s="173">
        <v>222805.5</v>
      </c>
      <c r="J722" s="173">
        <v>321520.7</v>
      </c>
    </row>
    <row r="723" spans="1:19">
      <c r="C723" s="242" t="s">
        <v>698</v>
      </c>
      <c r="D723" s="170" t="s">
        <v>690</v>
      </c>
      <c r="E723" s="173">
        <v>21339.3</v>
      </c>
      <c r="F723" s="173">
        <v>31640.3</v>
      </c>
      <c r="G723" s="173">
        <v>26599.200000000001</v>
      </c>
      <c r="H723" s="173">
        <v>32414.5</v>
      </c>
      <c r="I723" s="173">
        <v>40729.9</v>
      </c>
      <c r="J723" s="173">
        <v>52189.3</v>
      </c>
    </row>
    <row r="724" spans="1:19">
      <c r="C724" s="242" t="s">
        <v>699</v>
      </c>
      <c r="D724" s="170" t="s">
        <v>690</v>
      </c>
      <c r="E724" s="288">
        <f>SUM(E721:E723)</f>
        <v>629645.5</v>
      </c>
      <c r="F724" s="288">
        <f t="shared" ref="F724:J724" si="63">SUM(F721:F723)</f>
        <v>771942.60000000009</v>
      </c>
      <c r="G724" s="288">
        <f t="shared" si="63"/>
        <v>646950.30000000005</v>
      </c>
      <c r="H724" s="288">
        <f t="shared" si="63"/>
        <v>747003.7</v>
      </c>
      <c r="I724" s="288">
        <f t="shared" si="63"/>
        <v>943091</v>
      </c>
      <c r="J724" s="288">
        <f t="shared" si="63"/>
        <v>1140883.5</v>
      </c>
    </row>
    <row r="725" spans="1:19">
      <c r="C725" s="200"/>
      <c r="D725" s="200"/>
      <c r="J725" s="287"/>
    </row>
    <row r="726" spans="1:19">
      <c r="C726" s="200"/>
      <c r="D726" s="200"/>
      <c r="J726" s="287"/>
    </row>
    <row r="728" spans="1:19" ht="15" thickBot="1">
      <c r="A728" s="198" t="s">
        <v>33</v>
      </c>
      <c r="B728" s="199"/>
      <c r="C728" s="199"/>
      <c r="D728" s="199"/>
      <c r="E728" s="199"/>
      <c r="F728" s="199"/>
      <c r="G728" s="199"/>
      <c r="H728" s="199"/>
      <c r="I728" s="199"/>
      <c r="J728" s="199"/>
      <c r="K728" s="199"/>
      <c r="L728" s="199"/>
      <c r="M728" s="199"/>
      <c r="N728" s="199"/>
      <c r="O728" s="199"/>
      <c r="P728" s="199"/>
      <c r="Q728" s="199"/>
      <c r="R728" s="199"/>
      <c r="S728" s="199"/>
    </row>
    <row r="730" spans="1:19">
      <c r="E730" s="289">
        <v>2018</v>
      </c>
      <c r="F730" s="289">
        <v>2019</v>
      </c>
      <c r="G730" s="289">
        <v>2020</v>
      </c>
      <c r="H730" s="289">
        <v>2021</v>
      </c>
      <c r="I730" s="289">
        <v>2022</v>
      </c>
      <c r="J730" s="289">
        <v>2023</v>
      </c>
      <c r="K730" s="289">
        <v>2024</v>
      </c>
      <c r="L730" s="289">
        <v>2025</v>
      </c>
      <c r="M730" s="289">
        <v>2026</v>
      </c>
      <c r="N730" s="289">
        <v>2027</v>
      </c>
      <c r="O730" s="289">
        <v>2028</v>
      </c>
      <c r="P730" s="289">
        <v>2029</v>
      </c>
      <c r="Q730" s="289">
        <v>2030</v>
      </c>
    </row>
    <row r="731" spans="1:19" ht="31.2">
      <c r="B731" s="176" t="s">
        <v>33</v>
      </c>
      <c r="C731" s="171" t="str">
        <f>C26</f>
        <v>ՓՄՁ քաղաքականության համաթիվ (ՏՀԶԿ)</v>
      </c>
      <c r="D731" s="169"/>
      <c r="E731" s="172" t="s">
        <v>54</v>
      </c>
      <c r="F731" s="172" t="s">
        <v>54</v>
      </c>
      <c r="G731" s="197">
        <f>F750</f>
        <v>3.0116666666666667</v>
      </c>
      <c r="H731" s="172" t="s">
        <v>54</v>
      </c>
      <c r="I731" s="172" t="s">
        <v>54</v>
      </c>
      <c r="J731" s="172" t="s">
        <v>54</v>
      </c>
      <c r="K731" s="197">
        <f>J750</f>
        <v>3.1</v>
      </c>
      <c r="L731" s="195">
        <f>K731+(Q731-K731)/(Q730-K730)</f>
        <v>3.1833333333333336</v>
      </c>
      <c r="M731" s="195">
        <f>L731+(Q731-L731)/(Q730-L730)</f>
        <v>3.2666666666666671</v>
      </c>
      <c r="N731" s="195">
        <f>M731+(Q731-M731)/(Q730-M730)</f>
        <v>3.3500000000000005</v>
      </c>
      <c r="O731" s="195">
        <f>N731+(Q731-N731)/(Q730-N730)</f>
        <v>3.4333333333333336</v>
      </c>
      <c r="P731" s="195">
        <f>O731+(Q731-O731)/(Q730-O730)</f>
        <v>3.5166666666666666</v>
      </c>
      <c r="Q731" s="195">
        <v>3.6</v>
      </c>
    </row>
    <row r="736" spans="1:19" ht="15.6">
      <c r="B736" s="290" t="s">
        <v>700</v>
      </c>
      <c r="C736" s="291"/>
    </row>
    <row r="737" spans="2:10">
      <c r="D737">
        <v>2018</v>
      </c>
      <c r="E737">
        <v>2019</v>
      </c>
      <c r="F737">
        <v>2020</v>
      </c>
      <c r="G737">
        <v>2021</v>
      </c>
      <c r="H737">
        <v>2022</v>
      </c>
      <c r="I737">
        <v>2023</v>
      </c>
      <c r="J737">
        <v>2024</v>
      </c>
    </row>
    <row r="738" spans="2:10">
      <c r="B738" t="s">
        <v>701</v>
      </c>
      <c r="F738">
        <v>3.68</v>
      </c>
      <c r="J738">
        <v>3.29</v>
      </c>
    </row>
    <row r="739" spans="2:10">
      <c r="B739" t="s">
        <v>702</v>
      </c>
      <c r="F739">
        <v>2.92</v>
      </c>
      <c r="J739">
        <v>4.05</v>
      </c>
    </row>
    <row r="740" spans="2:10">
      <c r="B740" t="s">
        <v>703</v>
      </c>
      <c r="F740">
        <v>2.66</v>
      </c>
      <c r="J740">
        <v>2.35</v>
      </c>
    </row>
    <row r="741" spans="2:10">
      <c r="B741" t="s">
        <v>704</v>
      </c>
      <c r="F741">
        <v>2.6</v>
      </c>
      <c r="J741">
        <v>3.35</v>
      </c>
    </row>
    <row r="742" spans="2:10">
      <c r="B742" t="s">
        <v>705</v>
      </c>
      <c r="F742">
        <v>1.8</v>
      </c>
      <c r="J742">
        <v>2.13</v>
      </c>
    </row>
    <row r="743" spans="2:10">
      <c r="B743" t="s">
        <v>706</v>
      </c>
      <c r="F743">
        <v>3.86</v>
      </c>
      <c r="J743">
        <v>3.87</v>
      </c>
    </row>
    <row r="744" spans="2:10">
      <c r="B744" t="s">
        <v>707</v>
      </c>
      <c r="F744">
        <v>3.83</v>
      </c>
      <c r="J744">
        <v>2.92</v>
      </c>
    </row>
    <row r="745" spans="2:10">
      <c r="B745" t="s">
        <v>708</v>
      </c>
      <c r="F745">
        <v>2.8</v>
      </c>
      <c r="J745">
        <v>3.96</v>
      </c>
    </row>
    <row r="746" spans="2:10">
      <c r="B746" t="s">
        <v>709</v>
      </c>
      <c r="F746">
        <v>2.98</v>
      </c>
      <c r="J746">
        <v>2.82</v>
      </c>
    </row>
    <row r="747" spans="2:10">
      <c r="B747" t="s">
        <v>710</v>
      </c>
      <c r="F747">
        <v>4.0999999999999996</v>
      </c>
      <c r="J747">
        <v>3.27</v>
      </c>
    </row>
    <row r="748" spans="2:10">
      <c r="B748" t="s">
        <v>711</v>
      </c>
      <c r="F748">
        <v>2.48</v>
      </c>
      <c r="J748">
        <v>2.39</v>
      </c>
    </row>
    <row r="749" spans="2:10">
      <c r="B749" t="s">
        <v>712</v>
      </c>
      <c r="F749">
        <v>2.4300000000000002</v>
      </c>
      <c r="J749">
        <v>2.8</v>
      </c>
    </row>
    <row r="750" spans="2:10">
      <c r="B750" s="292" t="s">
        <v>713</v>
      </c>
      <c r="C750" s="292"/>
      <c r="D750" s="292"/>
      <c r="E750" s="292"/>
      <c r="F750" s="293">
        <f>AVERAGE(F738:F749)</f>
        <v>3.0116666666666667</v>
      </c>
      <c r="G750" s="293"/>
      <c r="H750" s="293"/>
      <c r="I750" s="293"/>
      <c r="J750" s="293">
        <f>AVERAGE(J738:J749)</f>
        <v>3.1</v>
      </c>
    </row>
  </sheetData>
  <mergeCells count="107">
    <mergeCell ref="V63:W63"/>
    <mergeCell ref="AB63:AC63"/>
    <mergeCell ref="AD63:AE63"/>
    <mergeCell ref="AF63:AG63"/>
    <mergeCell ref="AH63:AI63"/>
    <mergeCell ref="D248:S248"/>
    <mergeCell ref="D62:K62"/>
    <mergeCell ref="P62:W62"/>
    <mergeCell ref="AB62:AI62"/>
    <mergeCell ref="D63:E63"/>
    <mergeCell ref="F63:G63"/>
    <mergeCell ref="H63:I63"/>
    <mergeCell ref="J63:K63"/>
    <mergeCell ref="P63:Q63"/>
    <mergeCell ref="R63:S63"/>
    <mergeCell ref="T63:U63"/>
    <mergeCell ref="C520:D520"/>
    <mergeCell ref="C521:D521"/>
    <mergeCell ref="C522:D522"/>
    <mergeCell ref="C523:D523"/>
    <mergeCell ref="C524:D524"/>
    <mergeCell ref="C525:D525"/>
    <mergeCell ref="R249:S249"/>
    <mergeCell ref="C390:D390"/>
    <mergeCell ref="C391:D391"/>
    <mergeCell ref="C392:D392"/>
    <mergeCell ref="D472:G472"/>
    <mergeCell ref="D473:E473"/>
    <mergeCell ref="F473:G473"/>
    <mergeCell ref="F249:G249"/>
    <mergeCell ref="H249:I249"/>
    <mergeCell ref="J249:K249"/>
    <mergeCell ref="L249:M249"/>
    <mergeCell ref="N249:O249"/>
    <mergeCell ref="P249:Q249"/>
    <mergeCell ref="C532:D532"/>
    <mergeCell ref="C533:D533"/>
    <mergeCell ref="C534:D534"/>
    <mergeCell ref="C535:D535"/>
    <mergeCell ref="C536:D536"/>
    <mergeCell ref="C537:D537"/>
    <mergeCell ref="C526:D526"/>
    <mergeCell ref="C527:D527"/>
    <mergeCell ref="C528:D528"/>
    <mergeCell ref="C529:D529"/>
    <mergeCell ref="C530:D530"/>
    <mergeCell ref="C531:D531"/>
    <mergeCell ref="C544:D544"/>
    <mergeCell ref="C545:D545"/>
    <mergeCell ref="C635:D635"/>
    <mergeCell ref="C636:D636"/>
    <mergeCell ref="C637:D637"/>
    <mergeCell ref="C638:D638"/>
    <mergeCell ref="C538:D538"/>
    <mergeCell ref="C539:D539"/>
    <mergeCell ref="C540:D540"/>
    <mergeCell ref="C541:D541"/>
    <mergeCell ref="C542:D542"/>
    <mergeCell ref="C543:D543"/>
    <mergeCell ref="C645:D645"/>
    <mergeCell ref="C646:D646"/>
    <mergeCell ref="C647:D647"/>
    <mergeCell ref="C648:D648"/>
    <mergeCell ref="C649:D649"/>
    <mergeCell ref="C650:D650"/>
    <mergeCell ref="C639:D639"/>
    <mergeCell ref="C640:D640"/>
    <mergeCell ref="C641:D641"/>
    <mergeCell ref="C642:D642"/>
    <mergeCell ref="C643:D643"/>
    <mergeCell ref="C644:D644"/>
    <mergeCell ref="C657:D657"/>
    <mergeCell ref="C658:D658"/>
    <mergeCell ref="C659:D659"/>
    <mergeCell ref="C660:D660"/>
    <mergeCell ref="C673:D673"/>
    <mergeCell ref="C674:D674"/>
    <mergeCell ref="C651:D651"/>
    <mergeCell ref="C652:D652"/>
    <mergeCell ref="C653:D653"/>
    <mergeCell ref="C654:D654"/>
    <mergeCell ref="C655:D655"/>
    <mergeCell ref="C656:D656"/>
    <mergeCell ref="C681:D681"/>
    <mergeCell ref="C682:D682"/>
    <mergeCell ref="C683:D683"/>
    <mergeCell ref="C684:D684"/>
    <mergeCell ref="C685:D685"/>
    <mergeCell ref="C686:D686"/>
    <mergeCell ref="C675:D675"/>
    <mergeCell ref="C676:D676"/>
    <mergeCell ref="C677:D677"/>
    <mergeCell ref="C678:D678"/>
    <mergeCell ref="C679:D679"/>
    <mergeCell ref="C680:D680"/>
    <mergeCell ref="C693:D693"/>
    <mergeCell ref="C694:D694"/>
    <mergeCell ref="C695:D695"/>
    <mergeCell ref="C696:D696"/>
    <mergeCell ref="C697:D697"/>
    <mergeCell ref="C698:D698"/>
    <mergeCell ref="C687:D687"/>
    <mergeCell ref="C688:D688"/>
    <mergeCell ref="C689:D689"/>
    <mergeCell ref="C690:D690"/>
    <mergeCell ref="C691:D691"/>
    <mergeCell ref="C692:D692"/>
  </mergeCells>
  <hyperlinks>
    <hyperlink ref="S4" location="Indicators!A50" display="Վ․1 հաշվարկ" xr:uid="{E2BEAD7A-0A26-4594-98FC-47B16EC1ADF1}"/>
    <hyperlink ref="S5" location="Indicators!A119" display="Վ․2 հաշվարկ" xr:uid="{B7451CD5-5B88-416A-A967-7D1E29333054}"/>
    <hyperlink ref="S6" location="Indicators!A155" display="Վ․3 հաշվարկ" xr:uid="{76838B8D-E026-4906-903F-A36A1FD31D7D}"/>
    <hyperlink ref="S7" location="Indicators!A192" display="Վ․3 հաշվարկ" xr:uid="{B14B7A66-CD16-4AFA-BA4C-67B3601E6467}"/>
    <hyperlink ref="S8" location="Indicators!A207" display="Վ․5 հաշվարկ" xr:uid="{769AAE7C-446D-4127-8D53-0A86F2976BFA}"/>
    <hyperlink ref="S9" location="Indicators!A222" display="Վ․6 հաշվարկ" xr:uid="{258435EC-7C39-456E-BC94-64723ADA51EB}"/>
    <hyperlink ref="S10" location="Indicators!A246" display="Վ․7 հաշվարկ" xr:uid="{3BD73740-1A44-48F7-950B-E80C85756A2A}"/>
    <hyperlink ref="S11" location="Indicators!A310" display="Վ․7 հաշվարկ" xr:uid="{DCC7FF01-BE8B-4126-A38F-6E2A71F98C9A}"/>
    <hyperlink ref="S12" location="Indicators!A355" display="1․Մ1 հաշվարկ" xr:uid="{F2EF2786-6C62-4590-8C7D-CBDD6A821AFC}"/>
    <hyperlink ref="S13" location="Indicators!A400" display="1․Մ3 հաշվարկ" xr:uid="{5BED1A74-2EAE-425C-B479-397EAA21CA60}"/>
    <hyperlink ref="S14" location="Indicators!A400" display="1․Մ3 հաշվարկ" xr:uid="{D75D545E-78FE-4CD3-AEF8-DB004AE60305}"/>
    <hyperlink ref="S15" location="Indicators!A463" display="2․Մ1 հաշվարկ" xr:uid="{9F886142-C3ED-461D-BFF1-A72A05E06C4B}"/>
    <hyperlink ref="S16" location="Indicators!A534" display="2․Մ2 հաշվարկ" xr:uid="{A7728D9E-2945-4AB4-AD13-1A06FECD661D}"/>
    <hyperlink ref="S17" location="Indicators!A570" display="2․Մ3 հաշվարկ" xr:uid="{D301266B-72F9-492C-B3FD-CFB3155D45A3}"/>
    <hyperlink ref="S18" location="Indicators!A607" display="2․Մ4 հաշվարկ" xr:uid="{00798E4F-AFF0-4F76-9F84-E8CDCCD2BC23}"/>
    <hyperlink ref="S19" location="Indicators!A625" display="3․Մ1 հաշվարկ" xr:uid="{81D6C997-6C0A-4D24-9B0B-34D55BD14941}"/>
    <hyperlink ref="S20" location="Indicators!A645" display="3․Մ2 հաշվարկ" xr:uid="{48497361-407C-4D67-9464-5026BE11CE75}"/>
    <hyperlink ref="S21" location="Indicators!A645" display="3․Մ2 հաշվարկ" xr:uid="{BF56AB92-D861-40A1-A4D2-964D36FADEDB}"/>
    <hyperlink ref="S22" location="Indicators!A716" display="4․Մ1 հաշվարկ" xr:uid="{166D28D3-217E-48F8-B3CA-9D8228AC63D4}"/>
    <hyperlink ref="S26" location="Indicators!A755" display="5․Մ1 հաշվարկ" xr:uid="{534D55D6-4DF6-4284-9BB5-F92246066697}"/>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1]!Macro2">
                <anchor moveWithCells="1" sizeWithCells="1">
                  <from>
                    <xdr:col>15</xdr:col>
                    <xdr:colOff>685800</xdr:colOff>
                    <xdr:row>184</xdr:row>
                    <xdr:rowOff>15240</xdr:rowOff>
                  </from>
                  <to>
                    <xdr:col>16</xdr:col>
                    <xdr:colOff>685800</xdr:colOff>
                    <xdr:row>185</xdr:row>
                    <xdr:rowOff>0</xdr:rowOff>
                  </to>
                </anchor>
              </controlPr>
            </control>
          </mc:Choice>
        </mc:AlternateContent>
        <mc:AlternateContent xmlns:mc="http://schemas.openxmlformats.org/markup-compatibility/2006">
          <mc:Choice Requires="x14">
            <control shapeId="9218" r:id="rId5" name="Button 2">
              <controlPr defaultSize="0" print="0" autoFill="0" autoPict="0" macro="[1]!Macro2">
                <anchor moveWithCells="1" sizeWithCells="1">
                  <from>
                    <xdr:col>15</xdr:col>
                    <xdr:colOff>685800</xdr:colOff>
                    <xdr:row>146</xdr:row>
                    <xdr:rowOff>251460</xdr:rowOff>
                  </from>
                  <to>
                    <xdr:col>16</xdr:col>
                    <xdr:colOff>685800</xdr:colOff>
                    <xdr:row>148</xdr:row>
                    <xdr:rowOff>60960</xdr:rowOff>
                  </to>
                </anchor>
              </controlPr>
            </control>
          </mc:Choice>
        </mc:AlternateContent>
        <mc:AlternateContent xmlns:mc="http://schemas.openxmlformats.org/markup-compatibility/2006">
          <mc:Choice Requires="x14">
            <control shapeId="9219" r:id="rId6" name="Button 3">
              <controlPr defaultSize="0" print="0" autoFill="0" autoPict="0" macro="[1]!Macro2">
                <anchor moveWithCells="1" sizeWithCells="1">
                  <from>
                    <xdr:col>16</xdr:col>
                    <xdr:colOff>15240</xdr:colOff>
                    <xdr:row>113</xdr:row>
                    <xdr:rowOff>1630680</xdr:rowOff>
                  </from>
                  <to>
                    <xdr:col>17</xdr:col>
                    <xdr:colOff>15240</xdr:colOff>
                    <xdr:row>113</xdr:row>
                    <xdr:rowOff>1981200</xdr:rowOff>
                  </to>
                </anchor>
              </controlPr>
            </control>
          </mc:Choice>
        </mc:AlternateContent>
        <mc:AlternateContent xmlns:mc="http://schemas.openxmlformats.org/markup-compatibility/2006">
          <mc:Choice Requires="x14">
            <control shapeId="9220" r:id="rId7" name="Button 4">
              <controlPr defaultSize="0" print="0" autoFill="0" autoPict="0" macro="[1]!Macro2">
                <anchor moveWithCells="1" sizeWithCells="1">
                  <from>
                    <xdr:col>15</xdr:col>
                    <xdr:colOff>670560</xdr:colOff>
                    <xdr:row>46</xdr:row>
                    <xdr:rowOff>45720</xdr:rowOff>
                  </from>
                  <to>
                    <xdr:col>16</xdr:col>
                    <xdr:colOff>670560</xdr:colOff>
                    <xdr:row>48</xdr:row>
                    <xdr:rowOff>22860</xdr:rowOff>
                  </to>
                </anchor>
              </controlPr>
            </control>
          </mc:Choice>
        </mc:AlternateContent>
        <mc:AlternateContent xmlns:mc="http://schemas.openxmlformats.org/markup-compatibility/2006">
          <mc:Choice Requires="x14">
            <control shapeId="9221" r:id="rId8" name="Button 5">
              <controlPr defaultSize="0" print="0" autoFill="0" autoPict="0" macro="[1]!Macro2">
                <anchor moveWithCells="1" sizeWithCells="1">
                  <from>
                    <xdr:col>16</xdr:col>
                    <xdr:colOff>0</xdr:colOff>
                    <xdr:row>201</xdr:row>
                    <xdr:rowOff>106680</xdr:rowOff>
                  </from>
                  <to>
                    <xdr:col>16</xdr:col>
                    <xdr:colOff>693420</xdr:colOff>
                    <xdr:row>203</xdr:row>
                    <xdr:rowOff>91440</xdr:rowOff>
                  </to>
                </anchor>
              </controlPr>
            </control>
          </mc:Choice>
        </mc:AlternateContent>
        <mc:AlternateContent xmlns:mc="http://schemas.openxmlformats.org/markup-compatibility/2006">
          <mc:Choice Requires="x14">
            <control shapeId="9222" r:id="rId9" name="Button 6">
              <controlPr defaultSize="0" print="0" autoFill="0" autoPict="0" macro="[1]!Macro2">
                <anchor moveWithCells="1" sizeWithCells="1">
                  <from>
                    <xdr:col>16</xdr:col>
                    <xdr:colOff>0</xdr:colOff>
                    <xdr:row>218</xdr:row>
                    <xdr:rowOff>1097280</xdr:rowOff>
                  </from>
                  <to>
                    <xdr:col>17</xdr:col>
                    <xdr:colOff>0</xdr:colOff>
                    <xdr:row>219</xdr:row>
                    <xdr:rowOff>342900</xdr:rowOff>
                  </to>
                </anchor>
              </controlPr>
            </control>
          </mc:Choice>
        </mc:AlternateContent>
        <mc:AlternateContent xmlns:mc="http://schemas.openxmlformats.org/markup-compatibility/2006">
          <mc:Choice Requires="x14">
            <control shapeId="9223" r:id="rId10" name="Button 7">
              <controlPr defaultSize="0" print="0" autoFill="0" autoPict="0" macro="[1]!Macro2">
                <anchor moveWithCells="1" sizeWithCells="1">
                  <from>
                    <xdr:col>16</xdr:col>
                    <xdr:colOff>15240</xdr:colOff>
                    <xdr:row>239</xdr:row>
                    <xdr:rowOff>160020</xdr:rowOff>
                  </from>
                  <to>
                    <xdr:col>17</xdr:col>
                    <xdr:colOff>15240</xdr:colOff>
                    <xdr:row>241</xdr:row>
                    <xdr:rowOff>137160</xdr:rowOff>
                  </to>
                </anchor>
              </controlPr>
            </control>
          </mc:Choice>
        </mc:AlternateContent>
        <mc:AlternateContent xmlns:mc="http://schemas.openxmlformats.org/markup-compatibility/2006">
          <mc:Choice Requires="x14">
            <control shapeId="9224" r:id="rId11" name="Button 8">
              <controlPr defaultSize="0" print="0" autoFill="0" autoPict="0" macro="[1]!Macro2">
                <anchor moveWithCells="1" sizeWithCells="1">
                  <from>
                    <xdr:col>15</xdr:col>
                    <xdr:colOff>685800</xdr:colOff>
                    <xdr:row>315</xdr:row>
                    <xdr:rowOff>160020</xdr:rowOff>
                  </from>
                  <to>
                    <xdr:col>16</xdr:col>
                    <xdr:colOff>685800</xdr:colOff>
                    <xdr:row>317</xdr:row>
                    <xdr:rowOff>137160</xdr:rowOff>
                  </to>
                </anchor>
              </controlPr>
            </control>
          </mc:Choice>
        </mc:AlternateContent>
        <mc:AlternateContent xmlns:mc="http://schemas.openxmlformats.org/markup-compatibility/2006">
          <mc:Choice Requires="x14">
            <control shapeId="9225" r:id="rId12" name="Button 9">
              <controlPr defaultSize="0" print="0" autoFill="0" autoPict="0" macro="[1]!Macro2">
                <anchor moveWithCells="1" sizeWithCells="1">
                  <from>
                    <xdr:col>15</xdr:col>
                    <xdr:colOff>685800</xdr:colOff>
                    <xdr:row>364</xdr:row>
                    <xdr:rowOff>160020</xdr:rowOff>
                  </from>
                  <to>
                    <xdr:col>16</xdr:col>
                    <xdr:colOff>685800</xdr:colOff>
                    <xdr:row>366</xdr:row>
                    <xdr:rowOff>137160</xdr:rowOff>
                  </to>
                </anchor>
              </controlPr>
            </control>
          </mc:Choice>
        </mc:AlternateContent>
        <mc:AlternateContent xmlns:mc="http://schemas.openxmlformats.org/markup-compatibility/2006">
          <mc:Choice Requires="x14">
            <control shapeId="9226" r:id="rId13" name="Button 10">
              <controlPr defaultSize="0" print="0" autoFill="0" autoPict="0" macro="[1]!Macro2">
                <anchor moveWithCells="1" sizeWithCells="1">
                  <from>
                    <xdr:col>15</xdr:col>
                    <xdr:colOff>685800</xdr:colOff>
                    <xdr:row>417</xdr:row>
                    <xdr:rowOff>160020</xdr:rowOff>
                  </from>
                  <to>
                    <xdr:col>16</xdr:col>
                    <xdr:colOff>685800</xdr:colOff>
                    <xdr:row>419</xdr:row>
                    <xdr:rowOff>137160</xdr:rowOff>
                  </to>
                </anchor>
              </controlPr>
            </control>
          </mc:Choice>
        </mc:AlternateContent>
        <mc:AlternateContent xmlns:mc="http://schemas.openxmlformats.org/markup-compatibility/2006">
          <mc:Choice Requires="x14">
            <control shapeId="9227" r:id="rId14" name="Button 11">
              <controlPr defaultSize="0" print="0" autoFill="0" autoPict="0" macro="[1]!Macro2">
                <anchor moveWithCells="1" sizeWithCells="1">
                  <from>
                    <xdr:col>15</xdr:col>
                    <xdr:colOff>685800</xdr:colOff>
                    <xdr:row>481</xdr:row>
                    <xdr:rowOff>160020</xdr:rowOff>
                  </from>
                  <to>
                    <xdr:col>16</xdr:col>
                    <xdr:colOff>685800</xdr:colOff>
                    <xdr:row>483</xdr:row>
                    <xdr:rowOff>137160</xdr:rowOff>
                  </to>
                </anchor>
              </controlPr>
            </control>
          </mc:Choice>
        </mc:AlternateContent>
        <mc:AlternateContent xmlns:mc="http://schemas.openxmlformats.org/markup-compatibility/2006">
          <mc:Choice Requires="x14">
            <control shapeId="9228" r:id="rId15" name="Button 12">
              <controlPr defaultSize="0" print="0" autoFill="0" autoPict="0" macro="[1]!Macro2">
                <anchor moveWithCells="1" sizeWithCells="1">
                  <from>
                    <xdr:col>15</xdr:col>
                    <xdr:colOff>685800</xdr:colOff>
                    <xdr:row>527</xdr:row>
                    <xdr:rowOff>160020</xdr:rowOff>
                  </from>
                  <to>
                    <xdr:col>16</xdr:col>
                    <xdr:colOff>685800</xdr:colOff>
                    <xdr:row>529</xdr:row>
                    <xdr:rowOff>137160</xdr:rowOff>
                  </to>
                </anchor>
              </controlPr>
            </control>
          </mc:Choice>
        </mc:AlternateContent>
        <mc:AlternateContent xmlns:mc="http://schemas.openxmlformats.org/markup-compatibility/2006">
          <mc:Choice Requires="x14">
            <control shapeId="9229" r:id="rId16" name="Button 13">
              <controlPr defaultSize="0" print="0" autoFill="0" autoPict="0" macro="[1]!Macro2">
                <anchor moveWithCells="1" sizeWithCells="1">
                  <from>
                    <xdr:col>15</xdr:col>
                    <xdr:colOff>685800</xdr:colOff>
                    <xdr:row>568</xdr:row>
                    <xdr:rowOff>160020</xdr:rowOff>
                  </from>
                  <to>
                    <xdr:col>16</xdr:col>
                    <xdr:colOff>685800</xdr:colOff>
                    <xdr:row>570</xdr:row>
                    <xdr:rowOff>137160</xdr:rowOff>
                  </to>
                </anchor>
              </controlPr>
            </control>
          </mc:Choice>
        </mc:AlternateContent>
        <mc:AlternateContent xmlns:mc="http://schemas.openxmlformats.org/markup-compatibility/2006">
          <mc:Choice Requires="x14">
            <control shapeId="9230" r:id="rId17" name="Button 14">
              <controlPr defaultSize="0" print="0" autoFill="0" autoPict="0" macro="[1]!Macro2">
                <anchor moveWithCells="1" sizeWithCells="1">
                  <from>
                    <xdr:col>15</xdr:col>
                    <xdr:colOff>685800</xdr:colOff>
                    <xdr:row>599</xdr:row>
                    <xdr:rowOff>160020</xdr:rowOff>
                  </from>
                  <to>
                    <xdr:col>16</xdr:col>
                    <xdr:colOff>685800</xdr:colOff>
                    <xdr:row>600</xdr:row>
                    <xdr:rowOff>137160</xdr:rowOff>
                  </to>
                </anchor>
              </controlPr>
            </control>
          </mc:Choice>
        </mc:AlternateContent>
        <mc:AlternateContent xmlns:mc="http://schemas.openxmlformats.org/markup-compatibility/2006">
          <mc:Choice Requires="x14">
            <control shapeId="9231" r:id="rId18" name="Button 15">
              <controlPr defaultSize="0" print="0" autoFill="0" autoPict="0" macro="[1]!Macro2">
                <anchor moveWithCells="1" sizeWithCells="1">
                  <from>
                    <xdr:col>16</xdr:col>
                    <xdr:colOff>7620</xdr:colOff>
                    <xdr:row>621</xdr:row>
                    <xdr:rowOff>30480</xdr:rowOff>
                  </from>
                  <to>
                    <xdr:col>17</xdr:col>
                    <xdr:colOff>7620</xdr:colOff>
                    <xdr:row>622</xdr:row>
                    <xdr:rowOff>190500</xdr:rowOff>
                  </to>
                </anchor>
              </controlPr>
            </control>
          </mc:Choice>
        </mc:AlternateContent>
        <mc:AlternateContent xmlns:mc="http://schemas.openxmlformats.org/markup-compatibility/2006">
          <mc:Choice Requires="x14">
            <control shapeId="9232" r:id="rId19" name="Button 16">
              <controlPr defaultSize="0" print="0" autoFill="0" autoPict="0" macro="[1]!Macro2">
                <anchor moveWithCells="1" sizeWithCells="1">
                  <from>
                    <xdr:col>15</xdr:col>
                    <xdr:colOff>693420</xdr:colOff>
                    <xdr:row>649</xdr:row>
                    <xdr:rowOff>60960</xdr:rowOff>
                  </from>
                  <to>
                    <xdr:col>16</xdr:col>
                    <xdr:colOff>693420</xdr:colOff>
                    <xdr:row>651</xdr:row>
                    <xdr:rowOff>38100</xdr:rowOff>
                  </to>
                </anchor>
              </controlPr>
            </control>
          </mc:Choice>
        </mc:AlternateContent>
        <mc:AlternateContent xmlns:mc="http://schemas.openxmlformats.org/markup-compatibility/2006">
          <mc:Choice Requires="x14">
            <control shapeId="9233" r:id="rId20" name="Button 17">
              <controlPr defaultSize="0" print="0" autoFill="0" autoPict="0" macro="[1]!Macro2">
                <anchor moveWithCells="1" sizeWithCells="1">
                  <from>
                    <xdr:col>16</xdr:col>
                    <xdr:colOff>15240</xdr:colOff>
                    <xdr:row>687</xdr:row>
                    <xdr:rowOff>60960</xdr:rowOff>
                  </from>
                  <to>
                    <xdr:col>17</xdr:col>
                    <xdr:colOff>15240</xdr:colOff>
                    <xdr:row>689</xdr:row>
                    <xdr:rowOff>38100</xdr:rowOff>
                  </to>
                </anchor>
              </controlPr>
            </control>
          </mc:Choice>
        </mc:AlternateContent>
        <mc:AlternateContent xmlns:mc="http://schemas.openxmlformats.org/markup-compatibility/2006">
          <mc:Choice Requires="x14">
            <control shapeId="9234" r:id="rId21" name="Button 18">
              <controlPr defaultSize="0" print="0" autoFill="0" autoPict="0" macro="[1]!Macro2">
                <anchor moveWithCells="1" sizeWithCells="1">
                  <from>
                    <xdr:col>16</xdr:col>
                    <xdr:colOff>7620</xdr:colOff>
                    <xdr:row>715</xdr:row>
                    <xdr:rowOff>60960</xdr:rowOff>
                  </from>
                  <to>
                    <xdr:col>17</xdr:col>
                    <xdr:colOff>7620</xdr:colOff>
                    <xdr:row>715</xdr:row>
                    <xdr:rowOff>403860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CBFF4-814B-4ED5-B529-3488BABCFEBD}">
  <sheetPr codeName="Sheet9"/>
  <dimension ref="A2:U250"/>
  <sheetViews>
    <sheetView zoomScale="85" zoomScaleNormal="85" workbookViewId="0">
      <selection activeCell="C12" sqref="C12:C14"/>
    </sheetView>
  </sheetViews>
  <sheetFormatPr defaultColWidth="8.88671875" defaultRowHeight="14.4"/>
  <cols>
    <col min="1" max="1" width="42.6640625" style="27" customWidth="1"/>
    <col min="2" max="2" width="36.6640625" style="27" customWidth="1"/>
    <col min="3" max="3" width="12.88671875" style="27" customWidth="1"/>
    <col min="4" max="4" width="21.44140625" style="27" bestFit="1" customWidth="1"/>
    <col min="5" max="5" width="14.33203125" style="27" bestFit="1" customWidth="1"/>
    <col min="6" max="6" width="19" style="27" customWidth="1"/>
    <col min="7" max="7" width="23.33203125" style="27" bestFit="1" customWidth="1"/>
    <col min="8" max="8" width="21.44140625" style="27" customWidth="1"/>
    <col min="9" max="9" width="13.44140625" style="27" customWidth="1"/>
    <col min="10" max="10" width="16" style="27" customWidth="1"/>
    <col min="11" max="11" width="20.6640625" style="27" customWidth="1"/>
    <col min="12" max="13" width="20.33203125" style="27" bestFit="1" customWidth="1"/>
    <col min="14" max="14" width="19.88671875" style="27" bestFit="1" customWidth="1"/>
    <col min="15" max="15" width="20.33203125" style="27" customWidth="1"/>
    <col min="16" max="16" width="20.33203125" style="27" bestFit="1" customWidth="1"/>
    <col min="17" max="19" width="18.6640625" style="27" bestFit="1" customWidth="1"/>
    <col min="20" max="20" width="17.33203125" style="27" customWidth="1"/>
    <col min="21" max="16384" width="8.88671875" style="27"/>
  </cols>
  <sheetData>
    <row r="2" spans="1:19" ht="21">
      <c r="A2" s="90" t="s">
        <v>714</v>
      </c>
    </row>
    <row r="3" spans="1:19" ht="15.6">
      <c r="A3" s="54" t="s">
        <v>715</v>
      </c>
      <c r="B3" s="55">
        <f>$B$5*$B$4*($B$6^'costing variables'!D15)/($B$6^'costing variables'!D15-1)</f>
        <v>273264.7649504685</v>
      </c>
      <c r="D3" s="91" t="s">
        <v>716</v>
      </c>
      <c r="E3" s="92" t="s">
        <v>717</v>
      </c>
      <c r="F3" s="92" t="s">
        <v>718</v>
      </c>
      <c r="G3" s="93" t="s">
        <v>719</v>
      </c>
      <c r="H3" s="99"/>
    </row>
    <row r="4" spans="1:19">
      <c r="A4" s="56" t="s">
        <v>720</v>
      </c>
      <c r="B4" s="57">
        <f>'costing variables'!D17/12</f>
        <v>1.1666666666666667E-2</v>
      </c>
      <c r="C4" s="58"/>
      <c r="D4" s="59">
        <f>SUM(D5:D52)</f>
        <v>9999999.999999959</v>
      </c>
      <c r="E4" s="60">
        <f>SUM(E5:E52)</f>
        <v>3116708.7176225269</v>
      </c>
      <c r="F4" s="60">
        <f>SUM(F5:F52)</f>
        <v>2003598.4613287668</v>
      </c>
      <c r="G4" s="61">
        <f>B5</f>
        <v>10000000</v>
      </c>
      <c r="H4" s="60"/>
      <c r="I4" s="60"/>
    </row>
    <row r="5" spans="1:19">
      <c r="A5" s="56" t="s">
        <v>721</v>
      </c>
      <c r="B5" s="62">
        <f>'costing variables'!D14</f>
        <v>10000000</v>
      </c>
      <c r="C5" s="63"/>
      <c r="D5" s="64">
        <f t="shared" ref="D5:D52" si="0">$B$3-E5</f>
        <v>156598.09828380181</v>
      </c>
      <c r="E5" s="36">
        <f t="shared" ref="E5:E52" si="1">G4*($B$4)</f>
        <v>116666.66666666667</v>
      </c>
      <c r="F5" s="36">
        <f>G4*($B$7/12)</f>
        <v>75000</v>
      </c>
      <c r="G5" s="37">
        <f>B5-D5</f>
        <v>9843401.9017161988</v>
      </c>
      <c r="H5" s="36"/>
      <c r="I5" s="36"/>
    </row>
    <row r="6" spans="1:19">
      <c r="A6" s="56" t="s">
        <v>722</v>
      </c>
      <c r="B6" s="57">
        <f>1+B4</f>
        <v>1.0116666666666667</v>
      </c>
      <c r="C6" s="58"/>
      <c r="D6" s="64">
        <f t="shared" si="0"/>
        <v>158425.07609711285</v>
      </c>
      <c r="E6" s="36">
        <f t="shared" si="1"/>
        <v>114839.68885335566</v>
      </c>
      <c r="F6" s="36">
        <f t="shared" ref="F6:F52" si="2">G5*($B$7/12)</f>
        <v>73825.514262871482</v>
      </c>
      <c r="G6" s="37">
        <f>G5-D6</f>
        <v>9684976.8256190866</v>
      </c>
      <c r="H6" s="36"/>
      <c r="I6" s="36"/>
      <c r="K6" s="31" t="s">
        <v>723</v>
      </c>
    </row>
    <row r="7" spans="1:19">
      <c r="A7" s="65" t="s">
        <v>718</v>
      </c>
      <c r="B7" s="40">
        <f>'costing variables'!D16/100</f>
        <v>0.09</v>
      </c>
      <c r="D7" s="64">
        <f t="shared" si="0"/>
        <v>160273.36865157913</v>
      </c>
      <c r="E7" s="36">
        <f t="shared" si="1"/>
        <v>112991.39629888935</v>
      </c>
      <c r="F7" s="36">
        <f t="shared" si="2"/>
        <v>72637.32619214314</v>
      </c>
      <c r="G7" s="37">
        <f t="shared" ref="G7:G48" si="3">G6-D7</f>
        <v>9524703.4569675066</v>
      </c>
      <c r="H7" s="36"/>
      <c r="I7" s="36"/>
      <c r="J7" s="27" t="s">
        <v>724</v>
      </c>
      <c r="K7" s="32">
        <f>'costing variables'!H21</f>
        <v>45</v>
      </c>
      <c r="L7" s="66">
        <f>'costing variables'!I21</f>
        <v>90</v>
      </c>
      <c r="M7" s="66">
        <f>'costing variables'!J21</f>
        <v>180</v>
      </c>
      <c r="N7" s="66">
        <f>'costing variables'!K21</f>
        <v>180</v>
      </c>
      <c r="O7" s="66">
        <f>'costing variables'!L21</f>
        <v>180</v>
      </c>
      <c r="P7" s="66">
        <f>'costing variables'!M21</f>
        <v>180</v>
      </c>
      <c r="Q7" s="66"/>
      <c r="R7" s="66"/>
      <c r="S7" s="55"/>
    </row>
    <row r="8" spans="1:19">
      <c r="D8" s="64">
        <f t="shared" si="0"/>
        <v>162143.2246191809</v>
      </c>
      <c r="E8" s="36">
        <f t="shared" si="1"/>
        <v>111121.54033128759</v>
      </c>
      <c r="F8" s="36">
        <f t="shared" si="2"/>
        <v>71435.275927256298</v>
      </c>
      <c r="G8" s="37">
        <f t="shared" si="3"/>
        <v>9362560.2323483266</v>
      </c>
      <c r="H8" s="36"/>
      <c r="I8" s="36"/>
      <c r="K8" s="35">
        <v>2025</v>
      </c>
      <c r="L8" s="31">
        <v>2026</v>
      </c>
      <c r="M8" s="31">
        <v>2027</v>
      </c>
      <c r="N8" s="31">
        <v>2028</v>
      </c>
      <c r="O8" s="31">
        <v>2029</v>
      </c>
      <c r="P8" s="31">
        <v>2030</v>
      </c>
      <c r="Q8" s="31">
        <v>2031</v>
      </c>
      <c r="R8" s="31">
        <v>2032</v>
      </c>
      <c r="S8" s="67">
        <v>2033</v>
      </c>
    </row>
    <row r="9" spans="1:19">
      <c r="D9" s="64">
        <f t="shared" si="0"/>
        <v>164034.89557307135</v>
      </c>
      <c r="E9" s="36">
        <f t="shared" si="1"/>
        <v>109229.86937739715</v>
      </c>
      <c r="F9" s="36">
        <f t="shared" si="2"/>
        <v>70219.201742612451</v>
      </c>
      <c r="G9" s="37">
        <f t="shared" si="3"/>
        <v>9198525.3367752545</v>
      </c>
      <c r="H9" s="36"/>
      <c r="I9" s="36"/>
      <c r="K9" s="68">
        <f>SUM(F5:F16)</f>
        <v>819388.79956179939</v>
      </c>
      <c r="L9" s="36">
        <f>SUM(F17:F28)</f>
        <v>626938.6451036795</v>
      </c>
      <c r="M9" s="36">
        <f>SUM(F29:F40)</f>
        <v>405747.59405755321</v>
      </c>
      <c r="N9" s="36">
        <f>SUM(F41:F52)</f>
        <v>151523.42260573449</v>
      </c>
      <c r="S9" s="38"/>
    </row>
    <row r="10" spans="1:19">
      <c r="D10" s="64">
        <f t="shared" si="0"/>
        <v>165948.63602142385</v>
      </c>
      <c r="E10" s="36">
        <f t="shared" si="1"/>
        <v>107316.12892904464</v>
      </c>
      <c r="F10" s="36">
        <f t="shared" si="2"/>
        <v>68988.940025814401</v>
      </c>
      <c r="G10" s="37">
        <f t="shared" si="3"/>
        <v>9032576.7007538304</v>
      </c>
      <c r="H10" s="36"/>
      <c r="I10" s="36"/>
      <c r="K10" s="69"/>
      <c r="L10" s="36">
        <f>K9</f>
        <v>819388.79956179939</v>
      </c>
      <c r="M10" s="36">
        <f t="shared" ref="M10:S14" si="4">L9</f>
        <v>626938.6451036795</v>
      </c>
      <c r="N10" s="36">
        <f t="shared" si="4"/>
        <v>405747.59405755321</v>
      </c>
      <c r="O10" s="36">
        <f t="shared" si="4"/>
        <v>151523.42260573449</v>
      </c>
      <c r="S10" s="38"/>
    </row>
    <row r="11" spans="1:19">
      <c r="D11" s="64">
        <f t="shared" si="0"/>
        <v>167884.7034416738</v>
      </c>
      <c r="E11" s="36">
        <f t="shared" si="1"/>
        <v>105380.06150879469</v>
      </c>
      <c r="F11" s="36">
        <f t="shared" si="2"/>
        <v>67744.325255653719</v>
      </c>
      <c r="G11" s="37">
        <f t="shared" si="3"/>
        <v>8864691.9973121565</v>
      </c>
      <c r="H11" s="36"/>
      <c r="I11" s="36"/>
      <c r="K11" s="69"/>
      <c r="M11" s="36">
        <f>L10</f>
        <v>819388.79956179939</v>
      </c>
      <c r="N11" s="36">
        <f t="shared" si="4"/>
        <v>626938.6451036795</v>
      </c>
      <c r="O11" s="36">
        <f t="shared" si="4"/>
        <v>405747.59405755321</v>
      </c>
      <c r="P11" s="36">
        <f t="shared" si="4"/>
        <v>151523.42260573449</v>
      </c>
      <c r="S11" s="38"/>
    </row>
    <row r="12" spans="1:19">
      <c r="D12" s="64">
        <f t="shared" si="0"/>
        <v>169843.35831516</v>
      </c>
      <c r="E12" s="36">
        <f t="shared" si="1"/>
        <v>103421.40663530849</v>
      </c>
      <c r="F12" s="36">
        <f t="shared" si="2"/>
        <v>66485.189979841176</v>
      </c>
      <c r="G12" s="37">
        <f t="shared" si="3"/>
        <v>8694848.638996996</v>
      </c>
      <c r="H12" s="36"/>
      <c r="I12" s="36"/>
      <c r="K12" s="69"/>
      <c r="N12" s="36">
        <f>M11</f>
        <v>819388.79956179939</v>
      </c>
      <c r="O12" s="36">
        <f t="shared" si="4"/>
        <v>626938.6451036795</v>
      </c>
      <c r="P12" s="36">
        <f t="shared" si="4"/>
        <v>405747.59405755321</v>
      </c>
      <c r="Q12" s="36">
        <f t="shared" si="4"/>
        <v>151523.42260573449</v>
      </c>
      <c r="S12" s="38"/>
    </row>
    <row r="13" spans="1:19">
      <c r="D13" s="64">
        <f t="shared" si="0"/>
        <v>171824.86416217021</v>
      </c>
      <c r="E13" s="36">
        <f t="shared" si="1"/>
        <v>101439.90078829828</v>
      </c>
      <c r="F13" s="36">
        <f t="shared" si="2"/>
        <v>65211.36479247747</v>
      </c>
      <c r="G13" s="37">
        <f t="shared" si="3"/>
        <v>8523023.7748348266</v>
      </c>
      <c r="H13" s="36"/>
      <c r="I13" s="36"/>
      <c r="K13" s="69"/>
      <c r="O13" s="36">
        <f>N12</f>
        <v>819388.79956179939</v>
      </c>
      <c r="P13" s="36">
        <f t="shared" si="4"/>
        <v>626938.6451036795</v>
      </c>
      <c r="Q13" s="36">
        <f t="shared" si="4"/>
        <v>405747.59405755321</v>
      </c>
      <c r="R13" s="36">
        <f t="shared" si="4"/>
        <v>151523.42260573449</v>
      </c>
      <c r="S13" s="38"/>
    </row>
    <row r="14" spans="1:19">
      <c r="D14" s="64">
        <f t="shared" si="0"/>
        <v>173829.48757739551</v>
      </c>
      <c r="E14" s="36">
        <f t="shared" si="1"/>
        <v>99435.277373072982</v>
      </c>
      <c r="F14" s="36">
        <f t="shared" si="2"/>
        <v>63922.678311261196</v>
      </c>
      <c r="G14" s="37">
        <f t="shared" si="3"/>
        <v>8349194.2872574311</v>
      </c>
      <c r="H14" s="36"/>
      <c r="I14" s="36"/>
      <c r="K14" s="69"/>
      <c r="P14" s="36">
        <f>O13</f>
        <v>819388.79956179939</v>
      </c>
      <c r="Q14" s="36">
        <f t="shared" si="4"/>
        <v>626938.6451036795</v>
      </c>
      <c r="R14" s="36">
        <f t="shared" si="4"/>
        <v>405747.59405755321</v>
      </c>
      <c r="S14" s="37">
        <f t="shared" si="4"/>
        <v>151523.42260573449</v>
      </c>
    </row>
    <row r="15" spans="1:19">
      <c r="D15" s="64">
        <f t="shared" si="0"/>
        <v>175857.49826579847</v>
      </c>
      <c r="E15" s="36">
        <f t="shared" si="1"/>
        <v>97407.26668467003</v>
      </c>
      <c r="F15" s="36">
        <f t="shared" si="2"/>
        <v>62618.957154430733</v>
      </c>
      <c r="G15" s="37">
        <f t="shared" si="3"/>
        <v>8173336.7889916329</v>
      </c>
      <c r="H15" s="36"/>
      <c r="I15" s="36"/>
      <c r="K15" s="69"/>
      <c r="S15" s="38"/>
    </row>
    <row r="16" spans="1:19">
      <c r="D16" s="64">
        <f t="shared" si="0"/>
        <v>177909.16907889943</v>
      </c>
      <c r="E16" s="36">
        <f t="shared" si="1"/>
        <v>95355.59587156905</v>
      </c>
      <c r="F16" s="36">
        <f t="shared" si="2"/>
        <v>61300.025917437248</v>
      </c>
      <c r="G16" s="37">
        <f t="shared" si="3"/>
        <v>7995427.6199127333</v>
      </c>
      <c r="H16" s="36"/>
      <c r="I16" s="36"/>
      <c r="K16" s="70">
        <f>K7*K9</f>
        <v>36872495.980280973</v>
      </c>
      <c r="L16" s="27">
        <f>K7*L9</f>
        <v>28212239.029665578</v>
      </c>
      <c r="M16" s="27">
        <f>K7*M9</f>
        <v>18258641.732589893</v>
      </c>
      <c r="N16" s="27">
        <f>K7*N9</f>
        <v>6818554.0172580518</v>
      </c>
      <c r="S16" s="38"/>
    </row>
    <row r="17" spans="4:19">
      <c r="D17" s="64">
        <f t="shared" si="0"/>
        <v>179984.77605148661</v>
      </c>
      <c r="E17" s="36">
        <f t="shared" si="1"/>
        <v>93279.988898981886</v>
      </c>
      <c r="F17" s="36">
        <f t="shared" si="2"/>
        <v>59965.707149345501</v>
      </c>
      <c r="G17" s="37">
        <f t="shared" si="3"/>
        <v>7815442.8438612465</v>
      </c>
      <c r="H17" s="36"/>
      <c r="I17" s="36"/>
      <c r="K17" s="69"/>
      <c r="L17" s="27">
        <f>$L$7*L10</f>
        <v>73744991.960561946</v>
      </c>
      <c r="M17" s="27">
        <f>$L$7*M10</f>
        <v>56424478.059331156</v>
      </c>
      <c r="N17" s="27">
        <f>$L$7*N10</f>
        <v>36517283.465179786</v>
      </c>
      <c r="O17" s="27">
        <f>$L$7*O10</f>
        <v>13637108.034516104</v>
      </c>
      <c r="S17" s="38"/>
    </row>
    <row r="18" spans="4:19">
      <c r="D18" s="64">
        <f t="shared" si="0"/>
        <v>182084.59843875395</v>
      </c>
      <c r="E18" s="36">
        <f t="shared" si="1"/>
        <v>91180.166511714546</v>
      </c>
      <c r="F18" s="36">
        <f t="shared" si="2"/>
        <v>58615.821328959348</v>
      </c>
      <c r="G18" s="37">
        <f t="shared" si="3"/>
        <v>7633358.2454224927</v>
      </c>
      <c r="H18" s="36"/>
      <c r="I18" s="36"/>
      <c r="K18" s="69"/>
      <c r="M18" s="27">
        <f>M11*$M$7</f>
        <v>147489983.92112389</v>
      </c>
      <c r="N18" s="27">
        <f>N11*$M$7</f>
        <v>112848956.11866231</v>
      </c>
      <c r="O18" s="27">
        <f>O11*$M$7</f>
        <v>73034566.930359572</v>
      </c>
      <c r="P18" s="27">
        <f>P11*$M$7</f>
        <v>27274216.069032207</v>
      </c>
      <c r="S18" s="38"/>
    </row>
    <row r="19" spans="4:19">
      <c r="D19" s="64">
        <f t="shared" si="0"/>
        <v>184208.91875387274</v>
      </c>
      <c r="E19" s="36">
        <f t="shared" si="1"/>
        <v>89055.846196595754</v>
      </c>
      <c r="F19" s="36">
        <f t="shared" si="2"/>
        <v>57250.186840668692</v>
      </c>
      <c r="G19" s="37">
        <f t="shared" si="3"/>
        <v>7449149.3266686201</v>
      </c>
      <c r="H19" s="36"/>
      <c r="I19" s="36"/>
      <c r="K19" s="69"/>
      <c r="N19" s="27">
        <f>$N$7*N12</f>
        <v>147489983.92112389</v>
      </c>
      <c r="O19" s="27">
        <f>$N$7*O12</f>
        <v>112848956.11866231</v>
      </c>
      <c r="P19" s="27">
        <f>$N$7*P12</f>
        <v>73034566.930359572</v>
      </c>
      <c r="Q19" s="27">
        <f>$N$7*Q12</f>
        <v>27274216.069032207</v>
      </c>
      <c r="S19" s="38"/>
    </row>
    <row r="20" spans="4:19">
      <c r="D20" s="64">
        <f t="shared" si="0"/>
        <v>186358.02280600125</v>
      </c>
      <c r="E20" s="36">
        <f t="shared" si="1"/>
        <v>86906.742144467236</v>
      </c>
      <c r="F20" s="36">
        <f t="shared" si="2"/>
        <v>55868.619950014647</v>
      </c>
      <c r="G20" s="37">
        <f t="shared" si="3"/>
        <v>7262791.3038626192</v>
      </c>
      <c r="H20" s="36"/>
      <c r="I20" s="36"/>
      <c r="K20" s="69"/>
      <c r="O20" s="27">
        <f>+$O$7*O13</f>
        <v>147489983.92112389</v>
      </c>
      <c r="P20" s="27">
        <f>+$O$7*P13</f>
        <v>112848956.11866231</v>
      </c>
      <c r="Q20" s="27">
        <f>+$O$7*Q13</f>
        <v>73034566.930359572</v>
      </c>
      <c r="R20" s="27">
        <f>+$O$7*R13</f>
        <v>27274216.069032207</v>
      </c>
      <c r="S20" s="38"/>
    </row>
    <row r="21" spans="4:19">
      <c r="D21" s="64">
        <f t="shared" si="0"/>
        <v>188532.19973873795</v>
      </c>
      <c r="E21" s="36">
        <f t="shared" si="1"/>
        <v>84732.565211730558</v>
      </c>
      <c r="F21" s="36">
        <f t="shared" si="2"/>
        <v>54470.93477896964</v>
      </c>
      <c r="G21" s="37">
        <f t="shared" si="3"/>
        <v>7074259.1041238811</v>
      </c>
      <c r="H21" s="36"/>
      <c r="I21" s="36"/>
      <c r="K21" s="69"/>
      <c r="P21" s="27">
        <f>P14*$P$7</f>
        <v>147489983.92112389</v>
      </c>
      <c r="Q21" s="27">
        <f>Q14*$P$7</f>
        <v>112848956.11866231</v>
      </c>
      <c r="R21" s="27">
        <f>R14*$P$7</f>
        <v>73034566.930359572</v>
      </c>
      <c r="S21" s="38">
        <f>S14*$P$7</f>
        <v>27274216.069032207</v>
      </c>
    </row>
    <row r="22" spans="4:19">
      <c r="D22" s="64">
        <f t="shared" si="0"/>
        <v>190731.7420690232</v>
      </c>
      <c r="E22" s="36">
        <f t="shared" si="1"/>
        <v>82533.022881445286</v>
      </c>
      <c r="F22" s="36">
        <f t="shared" si="2"/>
        <v>53056.943280929103</v>
      </c>
      <c r="G22" s="37">
        <f t="shared" si="3"/>
        <v>6883527.3620548584</v>
      </c>
      <c r="H22" s="36"/>
      <c r="I22" s="36"/>
      <c r="K22" s="69"/>
      <c r="S22" s="38"/>
    </row>
    <row r="23" spans="4:19">
      <c r="D23" s="64">
        <f t="shared" si="0"/>
        <v>192956.94572649515</v>
      </c>
      <c r="E23" s="36">
        <f t="shared" si="1"/>
        <v>80307.819223973347</v>
      </c>
      <c r="F23" s="36">
        <f t="shared" si="2"/>
        <v>51626.455215411435</v>
      </c>
      <c r="G23" s="37">
        <f t="shared" si="3"/>
        <v>6690570.4163283631</v>
      </c>
      <c r="H23" s="36"/>
      <c r="I23" s="36"/>
      <c r="J23" s="27" t="s">
        <v>725</v>
      </c>
      <c r="K23" s="71">
        <f>SUM(K16:K21)</f>
        <v>36872495.980280973</v>
      </c>
      <c r="L23" s="72">
        <f t="shared" ref="L23:S23" si="5">SUM(L16:L21)</f>
        <v>101957230.99022752</v>
      </c>
      <c r="M23" s="72">
        <f t="shared" si="5"/>
        <v>222173103.71304494</v>
      </c>
      <c r="N23" s="72">
        <f t="shared" si="5"/>
        <v>303674777.52222407</v>
      </c>
      <c r="O23" s="72">
        <f t="shared" si="5"/>
        <v>347010615.00466192</v>
      </c>
      <c r="P23" s="72">
        <f t="shared" si="5"/>
        <v>360647723.03917801</v>
      </c>
      <c r="Q23" s="72">
        <f t="shared" si="5"/>
        <v>213157739.11805409</v>
      </c>
      <c r="R23" s="72">
        <f t="shared" si="5"/>
        <v>100308782.99939178</v>
      </c>
      <c r="S23" s="73">
        <f t="shared" si="5"/>
        <v>27274216.069032207</v>
      </c>
    </row>
    <row r="24" spans="4:19">
      <c r="D24" s="64">
        <f t="shared" si="0"/>
        <v>195208.11009330425</v>
      </c>
      <c r="E24" s="36">
        <f t="shared" si="1"/>
        <v>78056.654857164234</v>
      </c>
      <c r="F24" s="36">
        <f t="shared" si="2"/>
        <v>50179.278122462725</v>
      </c>
      <c r="G24" s="37">
        <f t="shared" si="3"/>
        <v>6495362.3062350592</v>
      </c>
      <c r="H24" s="36"/>
      <c r="I24" s="36"/>
    </row>
    <row r="25" spans="4:19">
      <c r="D25" s="64">
        <f t="shared" si="0"/>
        <v>197485.5380443928</v>
      </c>
      <c r="E25" s="36">
        <f t="shared" si="1"/>
        <v>75779.226906075695</v>
      </c>
      <c r="F25" s="36">
        <f t="shared" si="2"/>
        <v>48715.217296762945</v>
      </c>
      <c r="G25" s="37">
        <f t="shared" si="3"/>
        <v>6297876.7681906661</v>
      </c>
      <c r="H25" s="36"/>
      <c r="I25" s="36"/>
    </row>
    <row r="26" spans="4:19">
      <c r="D26" s="64">
        <f t="shared" si="0"/>
        <v>199789.53598824405</v>
      </c>
      <c r="E26" s="36">
        <f t="shared" si="1"/>
        <v>73475.228962224443</v>
      </c>
      <c r="F26" s="36">
        <f t="shared" si="2"/>
        <v>47234.075761429995</v>
      </c>
      <c r="G26" s="37">
        <f t="shared" si="3"/>
        <v>6098087.2322024219</v>
      </c>
      <c r="H26" s="36"/>
      <c r="I26" s="36"/>
    </row>
    <row r="27" spans="4:19">
      <c r="D27" s="64">
        <f t="shared" si="0"/>
        <v>202120.41390810692</v>
      </c>
      <c r="E27" s="36">
        <f t="shared" si="1"/>
        <v>71144.351042361595</v>
      </c>
      <c r="F27" s="36">
        <f t="shared" si="2"/>
        <v>45735.654241518161</v>
      </c>
      <c r="G27" s="37">
        <f t="shared" si="3"/>
        <v>5895966.8182943147</v>
      </c>
      <c r="H27" s="36"/>
      <c r="I27" s="36"/>
    </row>
    <row r="28" spans="4:19">
      <c r="D28" s="64">
        <f t="shared" si="0"/>
        <v>204478.48540370149</v>
      </c>
      <c r="E28" s="36">
        <f t="shared" si="1"/>
        <v>68786.279546767008</v>
      </c>
      <c r="F28" s="36">
        <f t="shared" si="2"/>
        <v>44219.751137207357</v>
      </c>
      <c r="G28" s="37">
        <f t="shared" si="3"/>
        <v>5691488.332890613</v>
      </c>
      <c r="H28" s="36"/>
      <c r="I28" s="36"/>
    </row>
    <row r="29" spans="4:19">
      <c r="D29" s="64">
        <f t="shared" si="0"/>
        <v>206864.06773341133</v>
      </c>
      <c r="E29" s="36">
        <f t="shared" si="1"/>
        <v>66400.697217057153</v>
      </c>
      <c r="F29" s="36">
        <f t="shared" si="2"/>
        <v>42686.162496679593</v>
      </c>
      <c r="G29" s="37">
        <f t="shared" si="3"/>
        <v>5484624.2651572013</v>
      </c>
      <c r="H29" s="36"/>
      <c r="I29" s="36"/>
    </row>
    <row r="30" spans="4:19">
      <c r="D30" s="64">
        <f t="shared" si="0"/>
        <v>209277.48185696782</v>
      </c>
      <c r="E30" s="36">
        <f t="shared" si="1"/>
        <v>63987.283093500686</v>
      </c>
      <c r="F30" s="36">
        <f t="shared" si="2"/>
        <v>41134.681988679011</v>
      </c>
      <c r="G30" s="37">
        <f t="shared" si="3"/>
        <v>5275346.7833002331</v>
      </c>
      <c r="H30" s="36"/>
      <c r="I30" s="36"/>
      <c r="K30" s="31" t="s">
        <v>726</v>
      </c>
    </row>
    <row r="31" spans="4:19">
      <c r="D31" s="64">
        <f t="shared" si="0"/>
        <v>211719.05247863242</v>
      </c>
      <c r="E31" s="36">
        <f t="shared" si="1"/>
        <v>61545.712471836057</v>
      </c>
      <c r="F31" s="36">
        <f t="shared" si="2"/>
        <v>39565.100874751748</v>
      </c>
      <c r="G31" s="37">
        <f t="shared" si="3"/>
        <v>5063627.7308216002</v>
      </c>
      <c r="H31" s="36"/>
      <c r="I31" s="36"/>
      <c r="K31" s="74"/>
      <c r="L31" s="75"/>
      <c r="M31" s="75"/>
      <c r="N31" s="75"/>
      <c r="O31" s="75"/>
      <c r="P31" s="75"/>
      <c r="Q31" s="66"/>
      <c r="R31" s="66"/>
      <c r="S31" s="55"/>
    </row>
    <row r="32" spans="4:19">
      <c r="D32" s="64">
        <f t="shared" si="0"/>
        <v>214189.10809088315</v>
      </c>
      <c r="E32" s="36">
        <f t="shared" si="1"/>
        <v>59075.656859585339</v>
      </c>
      <c r="F32" s="36">
        <f t="shared" si="2"/>
        <v>37977.207981161999</v>
      </c>
      <c r="G32" s="37">
        <f t="shared" si="3"/>
        <v>4849438.6227307171</v>
      </c>
      <c r="H32" s="36"/>
      <c r="I32" s="36"/>
      <c r="J32" s="27" t="s">
        <v>727</v>
      </c>
      <c r="K32" s="68">
        <f>K7*'costing variables'!$D$22</f>
        <v>36</v>
      </c>
      <c r="L32" s="36">
        <f>L7*'costing variables'!$D$22</f>
        <v>72</v>
      </c>
      <c r="M32" s="36">
        <f>M7*'costing variables'!$D$22</f>
        <v>144</v>
      </c>
      <c r="N32" s="36">
        <f>N7*'costing variables'!$D$22</f>
        <v>144</v>
      </c>
      <c r="O32" s="36">
        <f>O7*'costing variables'!$D$22</f>
        <v>144</v>
      </c>
      <c r="P32" s="36">
        <f>P7*'costing variables'!$D$22</f>
        <v>144</v>
      </c>
      <c r="S32" s="38"/>
    </row>
    <row r="33" spans="4:19">
      <c r="D33" s="64">
        <f t="shared" si="0"/>
        <v>216687.98101861012</v>
      </c>
      <c r="E33" s="36">
        <f t="shared" si="1"/>
        <v>56576.783931858372</v>
      </c>
      <c r="F33" s="36">
        <f t="shared" si="2"/>
        <v>36370.789670480379</v>
      </c>
      <c r="G33" s="37">
        <f t="shared" si="3"/>
        <v>4632750.6417121068</v>
      </c>
      <c r="H33" s="36"/>
      <c r="I33" s="36"/>
      <c r="J33" s="27" t="s">
        <v>728</v>
      </c>
      <c r="K33" s="76">
        <f>K32*$B$5*'costing variables'!$D$21</f>
        <v>251999999.99999997</v>
      </c>
      <c r="L33" s="77">
        <f>L32*$B$5*'costing variables'!$D$21</f>
        <v>503999999.99999994</v>
      </c>
      <c r="M33" s="77">
        <f>M32*$B$5*'costing variables'!$D$21</f>
        <v>1007999999.9999999</v>
      </c>
      <c r="N33" s="77">
        <f>N32*$B$5*'costing variables'!$D$21</f>
        <v>1007999999.9999999</v>
      </c>
      <c r="O33" s="77">
        <f>O32*$B$5*'costing variables'!$D$21</f>
        <v>1007999999.9999999</v>
      </c>
      <c r="P33" s="77">
        <f>P32*$B$5*'costing variables'!$D$21</f>
        <v>1007999999.9999999</v>
      </c>
      <c r="S33" s="38"/>
    </row>
    <row r="34" spans="4:19">
      <c r="D34" s="64">
        <f t="shared" si="0"/>
        <v>219216.00746382726</v>
      </c>
      <c r="E34" s="36">
        <f t="shared" si="1"/>
        <v>54048.757486641247</v>
      </c>
      <c r="F34" s="36">
        <f t="shared" si="2"/>
        <v>34745.629812840802</v>
      </c>
      <c r="G34" s="37">
        <f t="shared" si="3"/>
        <v>4413534.634248279</v>
      </c>
      <c r="H34" s="36"/>
      <c r="I34" s="36"/>
      <c r="K34" s="69"/>
      <c r="S34" s="38"/>
    </row>
    <row r="35" spans="4:19">
      <c r="D35" s="64">
        <f t="shared" si="0"/>
        <v>221773.52755090524</v>
      </c>
      <c r="E35" s="36">
        <f t="shared" si="1"/>
        <v>51491.237399563259</v>
      </c>
      <c r="F35" s="36">
        <f t="shared" si="2"/>
        <v>33101.509756862091</v>
      </c>
      <c r="G35" s="37">
        <f t="shared" si="3"/>
        <v>4191761.106697374</v>
      </c>
      <c r="H35" s="36"/>
      <c r="I35" s="36"/>
      <c r="K35" s="68">
        <f>K32*(1-'costing variables'!$D$23)</f>
        <v>25.2</v>
      </c>
      <c r="L35" s="36">
        <f>L32*(1-'costing variables'!$D$23)</f>
        <v>50.4</v>
      </c>
      <c r="M35" s="36">
        <f>M32*(1-'costing variables'!$D$23)</f>
        <v>100.8</v>
      </c>
      <c r="N35" s="36">
        <f>N32*(1-'costing variables'!$D$23)</f>
        <v>100.8</v>
      </c>
      <c r="O35" s="36">
        <f>O32*(1-'costing variables'!$D$23)</f>
        <v>100.8</v>
      </c>
      <c r="P35" s="36">
        <f>P32*(1-'costing variables'!$D$23)</f>
        <v>100.8</v>
      </c>
      <c r="S35" s="38"/>
    </row>
    <row r="36" spans="4:19">
      <c r="D36" s="64">
        <f t="shared" si="0"/>
        <v>224360.88537233247</v>
      </c>
      <c r="E36" s="36">
        <f t="shared" si="1"/>
        <v>48903.879578136031</v>
      </c>
      <c r="F36" s="36">
        <f t="shared" si="2"/>
        <v>31438.208300230304</v>
      </c>
      <c r="G36" s="37">
        <f t="shared" si="3"/>
        <v>3967400.2213250417</v>
      </c>
      <c r="H36" s="36"/>
      <c r="I36" s="36"/>
      <c r="K36" s="78">
        <f>SUM(D5:D16)</f>
        <v>2004572.3800872671</v>
      </c>
      <c r="L36" s="94">
        <f>SUM(D17:D28)</f>
        <v>2303939.2870221203</v>
      </c>
      <c r="M36" s="94">
        <f>SUM(D29:D40)</f>
        <v>2648014.2553160945</v>
      </c>
      <c r="N36" s="94">
        <f>SUM(D41:D52)</f>
        <v>3043474.0775744799</v>
      </c>
      <c r="S36" s="38"/>
    </row>
    <row r="37" spans="4:19">
      <c r="D37" s="64">
        <f t="shared" si="0"/>
        <v>226978.42903500967</v>
      </c>
      <c r="E37" s="36">
        <f t="shared" si="1"/>
        <v>46286.335915458825</v>
      </c>
      <c r="F37" s="36">
        <f t="shared" si="2"/>
        <v>29755.50165993781</v>
      </c>
      <c r="G37" s="37">
        <f t="shared" si="3"/>
        <v>3740421.7922900319</v>
      </c>
      <c r="H37" s="36"/>
      <c r="I37" s="36"/>
      <c r="K37" s="69"/>
      <c r="L37" s="36">
        <f>K36</f>
        <v>2004572.3800872671</v>
      </c>
      <c r="M37" s="36">
        <f t="shared" ref="M37:S41" si="6">L36</f>
        <v>2303939.2870221203</v>
      </c>
      <c r="N37" s="36">
        <f t="shared" si="6"/>
        <v>2648014.2553160945</v>
      </c>
      <c r="O37" s="36">
        <f t="shared" si="6"/>
        <v>3043474.0775744799</v>
      </c>
      <c r="S37" s="38"/>
    </row>
    <row r="38" spans="4:19">
      <c r="D38" s="64">
        <f t="shared" si="0"/>
        <v>229626.51070708479</v>
      </c>
      <c r="E38" s="36">
        <f t="shared" si="1"/>
        <v>43638.254243383708</v>
      </c>
      <c r="F38" s="36">
        <f t="shared" si="2"/>
        <v>28053.163442175239</v>
      </c>
      <c r="G38" s="37">
        <f t="shared" si="3"/>
        <v>3510795.2815829469</v>
      </c>
      <c r="H38" s="36"/>
      <c r="I38" s="36"/>
      <c r="K38" s="69"/>
      <c r="M38" s="36">
        <f>L37</f>
        <v>2004572.3800872671</v>
      </c>
      <c r="N38" s="36">
        <f t="shared" si="6"/>
        <v>2303939.2870221203</v>
      </c>
      <c r="O38" s="36">
        <f t="shared" si="6"/>
        <v>2648014.2553160945</v>
      </c>
      <c r="P38" s="36">
        <f t="shared" si="6"/>
        <v>3043474.0775744799</v>
      </c>
      <c r="S38" s="38"/>
    </row>
    <row r="39" spans="4:19">
      <c r="D39" s="64">
        <f t="shared" si="0"/>
        <v>232305.48666533412</v>
      </c>
      <c r="E39" s="36">
        <f t="shared" si="1"/>
        <v>40959.27828513438</v>
      </c>
      <c r="F39" s="36">
        <f t="shared" si="2"/>
        <v>26330.964611872099</v>
      </c>
      <c r="G39" s="37">
        <f t="shared" si="3"/>
        <v>3278489.7949176128</v>
      </c>
      <c r="H39" s="36"/>
      <c r="I39" s="36"/>
      <c r="K39" s="69"/>
      <c r="N39" s="36">
        <f>M38</f>
        <v>2004572.3800872671</v>
      </c>
      <c r="O39" s="36">
        <f t="shared" si="6"/>
        <v>2303939.2870221203</v>
      </c>
      <c r="P39" s="36">
        <f t="shared" si="6"/>
        <v>2648014.2553160945</v>
      </c>
      <c r="Q39" s="36">
        <f t="shared" si="6"/>
        <v>3043474.0775744799</v>
      </c>
      <c r="S39" s="38"/>
    </row>
    <row r="40" spans="4:19">
      <c r="D40" s="64">
        <f t="shared" si="0"/>
        <v>235015.71734309633</v>
      </c>
      <c r="E40" s="36">
        <f t="shared" si="1"/>
        <v>38249.047607372151</v>
      </c>
      <c r="F40" s="36">
        <f t="shared" si="2"/>
        <v>24588.673461882096</v>
      </c>
      <c r="G40" s="37">
        <f t="shared" si="3"/>
        <v>3043474.0775745166</v>
      </c>
      <c r="H40" s="36"/>
      <c r="I40" s="36"/>
      <c r="K40" s="69"/>
      <c r="O40" s="36">
        <f>N39</f>
        <v>2004572.3800872671</v>
      </c>
      <c r="P40" s="36">
        <f t="shared" si="6"/>
        <v>2303939.2870221203</v>
      </c>
      <c r="Q40" s="36">
        <f t="shared" si="6"/>
        <v>2648014.2553160945</v>
      </c>
      <c r="R40" s="36">
        <f t="shared" si="6"/>
        <v>3043474.0775744799</v>
      </c>
      <c r="S40" s="38"/>
    </row>
    <row r="41" spans="4:19">
      <c r="D41" s="64">
        <f t="shared" si="0"/>
        <v>237757.56737876579</v>
      </c>
      <c r="E41" s="36">
        <f t="shared" si="1"/>
        <v>35507.197571702694</v>
      </c>
      <c r="F41" s="36">
        <f t="shared" si="2"/>
        <v>22826.055581808872</v>
      </c>
      <c r="G41" s="37">
        <f t="shared" si="3"/>
        <v>2805716.5101957507</v>
      </c>
      <c r="H41" s="36"/>
      <c r="I41" s="36"/>
      <c r="K41" s="69"/>
      <c r="P41" s="36">
        <f>O40</f>
        <v>2004572.3800872671</v>
      </c>
      <c r="Q41" s="36">
        <f t="shared" si="6"/>
        <v>2303939.2870221203</v>
      </c>
      <c r="R41" s="36">
        <f t="shared" si="6"/>
        <v>2648014.2553160945</v>
      </c>
      <c r="S41" s="37">
        <f t="shared" si="6"/>
        <v>3043474.0775744799</v>
      </c>
    </row>
    <row r="42" spans="4:19">
      <c r="D42" s="64">
        <f t="shared" si="0"/>
        <v>240531.40566485139</v>
      </c>
      <c r="E42" s="36">
        <f t="shared" si="1"/>
        <v>32733.359285617094</v>
      </c>
      <c r="F42" s="36">
        <f t="shared" si="2"/>
        <v>21042.873826468131</v>
      </c>
      <c r="G42" s="37">
        <f t="shared" si="3"/>
        <v>2565185.1045308993</v>
      </c>
      <c r="H42" s="36"/>
      <c r="I42" s="36"/>
      <c r="K42" s="70">
        <f>K36*K35</f>
        <v>50515223.978199132</v>
      </c>
      <c r="L42" s="27">
        <f>$K$35*L36</f>
        <v>58059270.032957427</v>
      </c>
      <c r="M42" s="27">
        <f>$K$35*M36</f>
        <v>66729959.233965576</v>
      </c>
      <c r="N42" s="27">
        <f>$K$35*N36</f>
        <v>76695546.754876897</v>
      </c>
      <c r="S42" s="38"/>
    </row>
    <row r="43" spans="4:19">
      <c r="D43" s="64">
        <f t="shared" si="0"/>
        <v>243337.60539760801</v>
      </c>
      <c r="E43" s="36">
        <f t="shared" si="1"/>
        <v>29927.159552860492</v>
      </c>
      <c r="F43" s="36">
        <f t="shared" si="2"/>
        <v>19238.888283981745</v>
      </c>
      <c r="G43" s="37">
        <f t="shared" si="3"/>
        <v>2321847.4991332912</v>
      </c>
      <c r="H43" s="36"/>
      <c r="I43" s="36"/>
      <c r="K43" s="69"/>
      <c r="L43" s="27">
        <f>$L$35*L37</f>
        <v>101030447.95639826</v>
      </c>
      <c r="M43" s="27">
        <f>$L$35*M37</f>
        <v>116118540.06591485</v>
      </c>
      <c r="N43" s="27">
        <f>$L$35*N37</f>
        <v>133459918.46793115</v>
      </c>
      <c r="O43" s="27">
        <f>$L$35*O37</f>
        <v>153391093.50975379</v>
      </c>
      <c r="S43" s="38"/>
    </row>
    <row r="44" spans="4:19">
      <c r="D44" s="64">
        <f t="shared" si="0"/>
        <v>246176.54412724677</v>
      </c>
      <c r="E44" s="36">
        <f t="shared" si="1"/>
        <v>27088.220823221731</v>
      </c>
      <c r="F44" s="36">
        <f t="shared" si="2"/>
        <v>17413.856243499682</v>
      </c>
      <c r="G44" s="37">
        <f t="shared" si="3"/>
        <v>2075670.9550060444</v>
      </c>
      <c r="H44" s="36"/>
      <c r="I44" s="36"/>
      <c r="K44" s="69"/>
      <c r="M44" s="27">
        <f>$M$35*M38</f>
        <v>202060895.91279653</v>
      </c>
      <c r="N44" s="27">
        <f>$M$35*N38</f>
        <v>232237080.13182971</v>
      </c>
      <c r="O44" s="27">
        <f>$M$35*O38</f>
        <v>266919836.9358623</v>
      </c>
      <c r="P44" s="27">
        <f>$M$35*P38</f>
        <v>306782187.01950759</v>
      </c>
      <c r="S44" s="38"/>
    </row>
    <row r="45" spans="4:19">
      <c r="D45" s="64">
        <f t="shared" si="0"/>
        <v>249048.60380873131</v>
      </c>
      <c r="E45" s="36">
        <f t="shared" si="1"/>
        <v>24216.161141737186</v>
      </c>
      <c r="F45" s="36">
        <f t="shared" si="2"/>
        <v>15567.532162545333</v>
      </c>
      <c r="G45" s="37">
        <f t="shared" si="3"/>
        <v>1826622.3511973131</v>
      </c>
      <c r="H45" s="36"/>
      <c r="I45" s="36"/>
      <c r="K45" s="69"/>
      <c r="N45" s="27">
        <f>N39*$N$35</f>
        <v>202060895.91279653</v>
      </c>
      <c r="O45" s="27">
        <f>O39*$N$35</f>
        <v>232237080.13182971</v>
      </c>
      <c r="P45" s="27">
        <f>P39*$N$35</f>
        <v>266919836.9358623</v>
      </c>
      <c r="Q45" s="27">
        <f>Q39*$N$35</f>
        <v>306782187.01950759</v>
      </c>
      <c r="S45" s="38"/>
    </row>
    <row r="46" spans="4:19">
      <c r="D46" s="64">
        <f t="shared" si="0"/>
        <v>251954.17085316652</v>
      </c>
      <c r="E46" s="36">
        <f t="shared" si="1"/>
        <v>21310.594097301986</v>
      </c>
      <c r="F46" s="36">
        <f t="shared" si="2"/>
        <v>13699.667633979847</v>
      </c>
      <c r="G46" s="37">
        <f t="shared" si="3"/>
        <v>1574668.1803441464</v>
      </c>
      <c r="H46" s="36"/>
      <c r="I46" s="36"/>
      <c r="K46" s="69"/>
      <c r="O46" s="27">
        <f>O40*$O$35</f>
        <v>202060895.91279653</v>
      </c>
      <c r="P46" s="27">
        <f>P40*$O$35</f>
        <v>232237080.13182971</v>
      </c>
      <c r="Q46" s="27">
        <f>Q40*$O$35</f>
        <v>266919836.9358623</v>
      </c>
      <c r="R46" s="27">
        <f>R40*$O$35</f>
        <v>306782187.01950759</v>
      </c>
      <c r="S46" s="38"/>
    </row>
    <row r="47" spans="4:19">
      <c r="D47" s="64">
        <f t="shared" si="0"/>
        <v>254893.63617978679</v>
      </c>
      <c r="E47" s="36">
        <f t="shared" si="1"/>
        <v>18371.128770681709</v>
      </c>
      <c r="F47" s="36">
        <f t="shared" si="2"/>
        <v>11810.011352581098</v>
      </c>
      <c r="G47" s="37">
        <f t="shared" si="3"/>
        <v>1319774.5441643596</v>
      </c>
      <c r="H47" s="36"/>
      <c r="I47" s="36"/>
      <c r="K47" s="69"/>
      <c r="P47" s="27">
        <f>P41*$P$35</f>
        <v>202060895.91279653</v>
      </c>
      <c r="Q47" s="27">
        <f>Q41*$P$35</f>
        <v>232237080.13182971</v>
      </c>
      <c r="R47" s="27">
        <f>R41*$P$35</f>
        <v>266919836.9358623</v>
      </c>
      <c r="S47" s="38">
        <f>S41*$P$35</f>
        <v>306782187.01950759</v>
      </c>
    </row>
    <row r="48" spans="4:19">
      <c r="D48" s="64">
        <f t="shared" si="0"/>
        <v>257867.39526855096</v>
      </c>
      <c r="E48" s="36">
        <f t="shared" si="1"/>
        <v>15397.369681917529</v>
      </c>
      <c r="F48" s="36">
        <f t="shared" si="2"/>
        <v>9898.3090812326973</v>
      </c>
      <c r="G48" s="37">
        <f t="shared" si="3"/>
        <v>1061907.1488958085</v>
      </c>
      <c r="H48" s="36"/>
      <c r="I48" s="36"/>
      <c r="K48" s="69"/>
      <c r="S48" s="38"/>
    </row>
    <row r="49" spans="1:21">
      <c r="D49" s="64">
        <f t="shared" si="0"/>
        <v>260875.84821335072</v>
      </c>
      <c r="E49" s="36">
        <f t="shared" si="1"/>
        <v>12388.916737117766</v>
      </c>
      <c r="F49" s="36">
        <f t="shared" si="2"/>
        <v>7964.3036167185637</v>
      </c>
      <c r="G49" s="37">
        <f>G48-D49</f>
        <v>801031.30068245775</v>
      </c>
      <c r="H49" s="36"/>
      <c r="I49" s="36"/>
      <c r="J49" s="31" t="s">
        <v>729</v>
      </c>
      <c r="K49" s="82">
        <f>SUM(K42:K47)*'costing variables'!$D$21</f>
        <v>35360656.78473939</v>
      </c>
      <c r="L49" s="83">
        <f>SUM(L42:L47)*'costing variables'!$D$21</f>
        <v>111362802.59254897</v>
      </c>
      <c r="M49" s="83">
        <f>SUM(M42:M47)*'costing variables'!$D$21</f>
        <v>269436576.64887387</v>
      </c>
      <c r="N49" s="83">
        <f>SUM(N42:N47)*'costing variables'!$D$21</f>
        <v>451117408.88720393</v>
      </c>
      <c r="O49" s="83">
        <f>SUM(O42:O47)*'costing variables'!$D$21</f>
        <v>598226234.54316962</v>
      </c>
      <c r="P49" s="83">
        <f>SUM(P42:P47)*'costing variables'!$D$21</f>
        <v>705599999.99999726</v>
      </c>
      <c r="Q49" s="83">
        <f>SUM(Q42:Q47)*'costing variables'!$D$21</f>
        <v>564157372.86103976</v>
      </c>
      <c r="R49" s="83">
        <f>SUM(R42:R47)*'costing variables'!$D$21</f>
        <v>401591416.76875895</v>
      </c>
      <c r="S49" s="84">
        <f>SUM(S42:S47)*'costing variables'!$D$21</f>
        <v>214747530.91365531</v>
      </c>
    </row>
    <row r="50" spans="1:21">
      <c r="D50" s="64">
        <f t="shared" si="0"/>
        <v>263919.39977583982</v>
      </c>
      <c r="E50" s="36">
        <f t="shared" si="1"/>
        <v>9345.3651746286741</v>
      </c>
      <c r="F50" s="36">
        <f t="shared" si="2"/>
        <v>6007.734755118433</v>
      </c>
      <c r="G50" s="37">
        <f>G49-D50</f>
        <v>537111.90090661799</v>
      </c>
      <c r="H50" s="36"/>
      <c r="I50" s="36"/>
      <c r="K50" s="69"/>
      <c r="S50" s="38"/>
    </row>
    <row r="51" spans="1:21">
      <c r="D51" s="64">
        <f t="shared" si="0"/>
        <v>266998.45943989127</v>
      </c>
      <c r="E51" s="36">
        <f t="shared" si="1"/>
        <v>6266.30551057721</v>
      </c>
      <c r="F51" s="36">
        <f t="shared" si="2"/>
        <v>4028.3392567996348</v>
      </c>
      <c r="G51" s="37">
        <f>G50-D51</f>
        <v>270113.44146672671</v>
      </c>
      <c r="H51" s="36"/>
      <c r="I51" s="36"/>
      <c r="J51" s="31"/>
      <c r="K51" s="85">
        <f>K33-K49</f>
        <v>216639343.21526057</v>
      </c>
      <c r="L51" s="86">
        <f t="shared" ref="L51:S51" si="7">L33-L49</f>
        <v>392637197.40745097</v>
      </c>
      <c r="M51" s="86">
        <f t="shared" si="7"/>
        <v>738563423.35112596</v>
      </c>
      <c r="N51" s="86">
        <f t="shared" si="7"/>
        <v>556882591.11279595</v>
      </c>
      <c r="O51" s="86">
        <f t="shared" si="7"/>
        <v>409773765.45683026</v>
      </c>
      <c r="P51" s="86">
        <f>P33-P49</f>
        <v>302400000.00000262</v>
      </c>
      <c r="Q51" s="86">
        <f t="shared" si="7"/>
        <v>-564157372.86103976</v>
      </c>
      <c r="R51" s="86">
        <f t="shared" si="7"/>
        <v>-401591416.76875895</v>
      </c>
      <c r="S51" s="87">
        <f t="shared" si="7"/>
        <v>-214747530.91365531</v>
      </c>
    </row>
    <row r="52" spans="1:21">
      <c r="D52" s="79">
        <f t="shared" si="0"/>
        <v>270113.44146669004</v>
      </c>
      <c r="E52" s="80">
        <f t="shared" si="1"/>
        <v>3151.3234837784785</v>
      </c>
      <c r="F52" s="80">
        <f t="shared" si="2"/>
        <v>2025.8508110004502</v>
      </c>
      <c r="G52" s="81">
        <f>G51-D52</f>
        <v>3.6670826375484467E-8</v>
      </c>
      <c r="H52" s="36"/>
      <c r="I52" s="36"/>
    </row>
    <row r="58" spans="1:21" ht="21">
      <c r="A58" s="90" t="s">
        <v>730</v>
      </c>
    </row>
    <row r="59" spans="1:21" ht="15.6">
      <c r="D59" s="91" t="s">
        <v>716</v>
      </c>
      <c r="E59" s="92" t="s">
        <v>717</v>
      </c>
      <c r="F59" s="92" t="s">
        <v>731</v>
      </c>
      <c r="G59" s="92" t="s">
        <v>732</v>
      </c>
      <c r="H59" s="93" t="s">
        <v>719</v>
      </c>
      <c r="K59" s="31" t="s">
        <v>733</v>
      </c>
    </row>
    <row r="60" spans="1:21">
      <c r="C60" s="58"/>
      <c r="D60" s="59">
        <f>SUM(D61:D120)</f>
        <v>59999999.999999747</v>
      </c>
      <c r="E60" s="60">
        <f>SUM(E61:E120)</f>
        <v>23765703.05779577</v>
      </c>
      <c r="F60" s="60">
        <f>SUM(F61:F120)</f>
        <v>16975502.18413984</v>
      </c>
      <c r="G60" s="60">
        <f>SUM(G61:G120)</f>
        <v>13580401.747311868</v>
      </c>
      <c r="H60" s="61">
        <f>B63</f>
        <v>60000000</v>
      </c>
      <c r="J60" s="27" t="s">
        <v>724</v>
      </c>
      <c r="K60" s="101">
        <v>2025</v>
      </c>
      <c r="L60" s="33">
        <v>2026</v>
      </c>
      <c r="M60" s="33">
        <v>2027</v>
      </c>
      <c r="N60" s="33">
        <v>2028</v>
      </c>
      <c r="O60" s="33">
        <v>2029</v>
      </c>
      <c r="P60" s="33">
        <v>2030</v>
      </c>
      <c r="Q60" s="33">
        <v>2031</v>
      </c>
      <c r="R60" s="33">
        <v>2032</v>
      </c>
      <c r="S60" s="33">
        <v>2033</v>
      </c>
      <c r="T60" s="33">
        <v>2034</v>
      </c>
      <c r="U60" s="55"/>
    </row>
    <row r="61" spans="1:21">
      <c r="A61" s="54" t="s">
        <v>715</v>
      </c>
      <c r="B61" s="100">
        <f>B63*B62*(B64^'costing variables'!$D$45)/(B64^'costing variables'!$D$45-1)</f>
        <v>1396095.0509632586</v>
      </c>
      <c r="C61" s="63"/>
      <c r="D61" s="64">
        <f t="shared" ref="D61:D92" si="8">$B$61-E61</f>
        <v>696095.0509632586</v>
      </c>
      <c r="E61" s="36">
        <f t="shared" ref="E61:E92" si="9">H60*($B$62)</f>
        <v>700000</v>
      </c>
      <c r="F61" s="36">
        <f>H60*($B$65/12)</f>
        <v>500000</v>
      </c>
      <c r="G61" s="36">
        <f>H60*($B$66/12)</f>
        <v>400000</v>
      </c>
      <c r="H61" s="37">
        <f>B63-D61</f>
        <v>59303904.94903674</v>
      </c>
      <c r="K61" s="68">
        <f>'costing variables'!G41+'costing variables'!H41</f>
        <v>41.6</v>
      </c>
      <c r="L61" s="36">
        <f>'costing variables'!I41</f>
        <v>64</v>
      </c>
      <c r="M61" s="36">
        <f>'costing variables'!J41</f>
        <v>96</v>
      </c>
      <c r="N61" s="36">
        <f>'costing variables'!K41</f>
        <v>144</v>
      </c>
      <c r="O61" s="36">
        <f>'costing variables'!L41</f>
        <v>216</v>
      </c>
      <c r="P61" s="36">
        <f>'costing variables'!M41</f>
        <v>304</v>
      </c>
      <c r="U61" s="38"/>
    </row>
    <row r="62" spans="1:21">
      <c r="A62" s="56" t="s">
        <v>720</v>
      </c>
      <c r="B62" s="57">
        <f>'costing variables'!$D$49/12</f>
        <v>1.1666666666666667E-2</v>
      </c>
      <c r="C62" s="58"/>
      <c r="D62" s="64">
        <f t="shared" si="8"/>
        <v>704216.15989116323</v>
      </c>
      <c r="E62" s="36">
        <f t="shared" si="9"/>
        <v>691878.89107209537</v>
      </c>
      <c r="F62" s="36">
        <f>H61*($B$65/12)</f>
        <v>494199.20790863951</v>
      </c>
      <c r="G62" s="36">
        <f t="shared" ref="G62:G120" si="10">H61*($B$66/12)</f>
        <v>395359.36632691161</v>
      </c>
      <c r="H62" s="37">
        <f t="shared" ref="H62:H93" si="11">H61-D62</f>
        <v>58599688.789145574</v>
      </c>
      <c r="K62" s="68">
        <f>SUM(F61:F72)</f>
        <v>5601860.798139412</v>
      </c>
      <c r="L62" s="36">
        <f>SUM(F73:F84)</f>
        <v>4651348.3324102415</v>
      </c>
      <c r="M62" s="36">
        <f>SUM(F85:F96)</f>
        <v>3558884.4062623768</v>
      </c>
      <c r="N62" s="36">
        <f>SUM(F97:F108)</f>
        <v>2303269.7005479732</v>
      </c>
      <c r="O62" s="36">
        <f>SUM(F109:F120)</f>
        <v>860138.94677983399</v>
      </c>
      <c r="U62" s="38"/>
    </row>
    <row r="63" spans="1:21">
      <c r="A63" s="56" t="s">
        <v>721</v>
      </c>
      <c r="B63" s="62">
        <f>'costing variables'!$D$42</f>
        <v>60000000</v>
      </c>
      <c r="D63" s="64">
        <f t="shared" si="8"/>
        <v>712432.0150898936</v>
      </c>
      <c r="E63" s="36">
        <f t="shared" si="9"/>
        <v>683663.03587336501</v>
      </c>
      <c r="F63" s="36">
        <f t="shared" ref="F63:F119" si="12">H62*($B$65/12)</f>
        <v>488330.73990954645</v>
      </c>
      <c r="G63" s="36">
        <f t="shared" si="10"/>
        <v>390664.59192763717</v>
      </c>
      <c r="H63" s="37">
        <f t="shared" si="11"/>
        <v>57887256.774055682</v>
      </c>
      <c r="K63" s="69"/>
      <c r="L63" s="36">
        <f>K62</f>
        <v>5601860.798139412</v>
      </c>
      <c r="M63" s="36">
        <f t="shared" ref="M63" si="13">L62</f>
        <v>4651348.3324102415</v>
      </c>
      <c r="N63" s="36">
        <f t="shared" ref="N63:N64" si="14">M62</f>
        <v>3558884.4062623768</v>
      </c>
      <c r="O63" s="36">
        <f t="shared" ref="O63:P65" si="15">N62</f>
        <v>2303269.7005479732</v>
      </c>
      <c r="P63" s="36">
        <f t="shared" si="15"/>
        <v>860138.94677983399</v>
      </c>
      <c r="U63" s="38"/>
    </row>
    <row r="64" spans="1:21">
      <c r="A64" s="56" t="s">
        <v>722</v>
      </c>
      <c r="B64" s="57">
        <f>1+B62</f>
        <v>1.0116666666666667</v>
      </c>
      <c r="D64" s="64">
        <f t="shared" si="8"/>
        <v>720743.72193260898</v>
      </c>
      <c r="E64" s="36">
        <f t="shared" si="9"/>
        <v>675351.32903064962</v>
      </c>
      <c r="F64" s="36">
        <f t="shared" si="12"/>
        <v>482393.80645046401</v>
      </c>
      <c r="G64" s="36">
        <f>H63*($B$66/12)</f>
        <v>385915.04516037123</v>
      </c>
      <c r="H64" s="37">
        <f t="shared" si="11"/>
        <v>57166513.05212307</v>
      </c>
      <c r="K64" s="69"/>
      <c r="M64" s="36">
        <f>L63</f>
        <v>5601860.798139412</v>
      </c>
      <c r="N64" s="36">
        <f t="shared" si="14"/>
        <v>4651348.3324102415</v>
      </c>
      <c r="O64" s="36">
        <f t="shared" si="15"/>
        <v>3558884.4062623768</v>
      </c>
      <c r="P64" s="36">
        <f t="shared" ref="P64:Q66" si="16">O63</f>
        <v>2303269.7005479732</v>
      </c>
      <c r="Q64" s="36">
        <f t="shared" si="16"/>
        <v>860138.94677983399</v>
      </c>
      <c r="U64" s="38"/>
    </row>
    <row r="65" spans="1:21">
      <c r="A65" s="56" t="s">
        <v>731</v>
      </c>
      <c r="B65" s="38">
        <f>'costing variables'!$D$47/100</f>
        <v>0.1</v>
      </c>
      <c r="D65" s="64">
        <f t="shared" si="8"/>
        <v>729152.39868848945</v>
      </c>
      <c r="E65" s="36">
        <f t="shared" si="9"/>
        <v>666942.65227476915</v>
      </c>
      <c r="F65" s="36">
        <f t="shared" si="12"/>
        <v>476387.60876769223</v>
      </c>
      <c r="G65" s="36">
        <f t="shared" si="10"/>
        <v>381110.08701415383</v>
      </c>
      <c r="H65" s="37">
        <f t="shared" si="11"/>
        <v>56437360.653434582</v>
      </c>
      <c r="K65" s="69"/>
      <c r="N65" s="36">
        <f>M64</f>
        <v>5601860.798139412</v>
      </c>
      <c r="O65" s="36">
        <f t="shared" si="15"/>
        <v>4651348.3324102415</v>
      </c>
      <c r="P65" s="36">
        <f t="shared" si="16"/>
        <v>3558884.4062623768</v>
      </c>
      <c r="Q65" s="36">
        <f t="shared" ref="Q65:R67" si="17">P64</f>
        <v>2303269.7005479732</v>
      </c>
      <c r="R65" s="36">
        <f t="shared" si="17"/>
        <v>860138.94677983399</v>
      </c>
      <c r="U65" s="38"/>
    </row>
    <row r="66" spans="1:21">
      <c r="A66" s="65" t="s">
        <v>734</v>
      </c>
      <c r="B66" s="40">
        <f>'costing variables'!$D$48/100</f>
        <v>0.08</v>
      </c>
      <c r="D66" s="64">
        <f t="shared" si="8"/>
        <v>737659.17667318846</v>
      </c>
      <c r="E66" s="36">
        <f t="shared" si="9"/>
        <v>658435.87429007015</v>
      </c>
      <c r="F66" s="36">
        <f t="shared" si="12"/>
        <v>470311.33877862152</v>
      </c>
      <c r="G66" s="36">
        <f t="shared" si="10"/>
        <v>376249.07102289726</v>
      </c>
      <c r="H66" s="37">
        <f t="shared" si="11"/>
        <v>55699701.476761393</v>
      </c>
      <c r="K66" s="69"/>
      <c r="O66" s="36">
        <f>N65</f>
        <v>5601860.798139412</v>
      </c>
      <c r="P66" s="36">
        <f t="shared" si="16"/>
        <v>4651348.3324102415</v>
      </c>
      <c r="Q66" s="36">
        <f t="shared" si="17"/>
        <v>3558884.4062623768</v>
      </c>
      <c r="R66" s="36">
        <f t="shared" ref="R66:S67" si="18">Q65</f>
        <v>2303269.7005479732</v>
      </c>
      <c r="S66" s="36">
        <f t="shared" si="18"/>
        <v>860138.94677983399</v>
      </c>
      <c r="U66" s="38"/>
    </row>
    <row r="67" spans="1:21">
      <c r="D67" s="64">
        <f t="shared" si="8"/>
        <v>746265.20040104236</v>
      </c>
      <c r="E67" s="36">
        <f t="shared" si="9"/>
        <v>649829.85056221625</v>
      </c>
      <c r="F67" s="36">
        <f t="shared" si="12"/>
        <v>464164.17897301161</v>
      </c>
      <c r="G67" s="36">
        <f t="shared" si="10"/>
        <v>371331.34317840933</v>
      </c>
      <c r="H67" s="37">
        <f t="shared" si="11"/>
        <v>54953436.276360348</v>
      </c>
      <c r="K67" s="69"/>
      <c r="P67" s="36">
        <f>O66</f>
        <v>5601860.798139412</v>
      </c>
      <c r="Q67" s="36">
        <f t="shared" si="17"/>
        <v>4651348.3324102415</v>
      </c>
      <c r="R67" s="36">
        <f t="shared" si="18"/>
        <v>3558884.4062623768</v>
      </c>
      <c r="S67" s="36">
        <f t="shared" ref="S67:T67" si="19">R66</f>
        <v>2303269.7005479732</v>
      </c>
      <c r="T67" s="36">
        <f t="shared" si="19"/>
        <v>860138.94677983399</v>
      </c>
      <c r="U67" s="38"/>
    </row>
    <row r="68" spans="1:21">
      <c r="D68" s="64">
        <f t="shared" si="8"/>
        <v>754971.6277390545</v>
      </c>
      <c r="E68" s="36">
        <f t="shared" si="9"/>
        <v>641123.4232242041</v>
      </c>
      <c r="F68" s="36">
        <f t="shared" si="12"/>
        <v>457945.30230300291</v>
      </c>
      <c r="G68" s="36">
        <f t="shared" si="10"/>
        <v>366356.24184240232</v>
      </c>
      <c r="H68" s="37">
        <f t="shared" si="11"/>
        <v>54198464.648621291</v>
      </c>
      <c r="K68" s="69"/>
      <c r="U68" s="38"/>
    </row>
    <row r="69" spans="1:21">
      <c r="D69" s="64">
        <f t="shared" si="8"/>
        <v>763779.63006267685</v>
      </c>
      <c r="E69" s="36">
        <f t="shared" si="9"/>
        <v>632315.42090058175</v>
      </c>
      <c r="F69" s="36">
        <f t="shared" si="12"/>
        <v>451653.87207184406</v>
      </c>
      <c r="G69" s="36">
        <f t="shared" si="10"/>
        <v>361323.09765747527</v>
      </c>
      <c r="H69" s="37">
        <f t="shared" si="11"/>
        <v>53434685.018558614</v>
      </c>
      <c r="K69" s="70">
        <f>$K$61*K62</f>
        <v>233037409.20259956</v>
      </c>
      <c r="L69" s="45">
        <f>$K$61*L62</f>
        <v>193496090.62826607</v>
      </c>
      <c r="M69" s="45">
        <f t="shared" ref="M69:N69" si="20">$K$61*M62</f>
        <v>148049591.30051488</v>
      </c>
      <c r="N69" s="45">
        <f t="shared" si="20"/>
        <v>95816019.542795688</v>
      </c>
      <c r="O69" s="45">
        <f>$K$61*O62</f>
        <v>35781780.186041094</v>
      </c>
      <c r="U69" s="38"/>
    </row>
    <row r="70" spans="1:21">
      <c r="D70" s="64">
        <f t="shared" si="8"/>
        <v>772690.39241340803</v>
      </c>
      <c r="E70" s="36">
        <f t="shared" si="9"/>
        <v>623404.65854985057</v>
      </c>
      <c r="F70" s="36">
        <f t="shared" si="12"/>
        <v>445289.04182132176</v>
      </c>
      <c r="G70" s="36">
        <f t="shared" si="10"/>
        <v>356231.23345705745</v>
      </c>
      <c r="H70" s="37">
        <f t="shared" si="11"/>
        <v>52661994.626145206</v>
      </c>
      <c r="K70" s="69"/>
      <c r="L70" s="27">
        <f>$L$61*L63</f>
        <v>358519091.08092237</v>
      </c>
      <c r="M70" s="27">
        <f>$L$61*M63</f>
        <v>297686293.27425545</v>
      </c>
      <c r="N70" s="27">
        <f t="shared" ref="N70:P70" si="21">$L$61*N63</f>
        <v>227768602.00079212</v>
      </c>
      <c r="O70" s="27">
        <f t="shared" si="21"/>
        <v>147409260.83507028</v>
      </c>
      <c r="P70" s="27">
        <f t="shared" si="21"/>
        <v>55048892.593909375</v>
      </c>
      <c r="U70" s="38"/>
    </row>
    <row r="71" spans="1:21">
      <c r="D71" s="64">
        <f t="shared" si="8"/>
        <v>781705.11365823122</v>
      </c>
      <c r="E71" s="36">
        <f t="shared" si="9"/>
        <v>614389.93730502739</v>
      </c>
      <c r="F71" s="36">
        <f t="shared" si="12"/>
        <v>438849.9552178767</v>
      </c>
      <c r="G71" s="36">
        <f t="shared" si="10"/>
        <v>351079.96417430142</v>
      </c>
      <c r="H71" s="37">
        <f t="shared" si="11"/>
        <v>51880289.512486972</v>
      </c>
      <c r="K71" s="69"/>
      <c r="M71" s="27">
        <f>M64*$M$61</f>
        <v>537778636.62138355</v>
      </c>
      <c r="N71" s="27">
        <f>N64*$M$61</f>
        <v>446529439.91138315</v>
      </c>
      <c r="O71" s="27">
        <f t="shared" ref="O71:Q71" si="22">O64*$M$61</f>
        <v>341652903.00118816</v>
      </c>
      <c r="P71" s="27">
        <f t="shared" si="22"/>
        <v>221113891.25260544</v>
      </c>
      <c r="Q71" s="27">
        <f t="shared" si="22"/>
        <v>82573338.890864059</v>
      </c>
      <c r="U71" s="38"/>
    </row>
    <row r="72" spans="1:21">
      <c r="D72" s="64">
        <f t="shared" si="8"/>
        <v>790825.0066509106</v>
      </c>
      <c r="E72" s="36">
        <f t="shared" si="9"/>
        <v>605270.04431234801</v>
      </c>
      <c r="F72" s="36">
        <f t="shared" si="12"/>
        <v>432335.74593739142</v>
      </c>
      <c r="G72" s="36">
        <f t="shared" si="10"/>
        <v>345868.59674991318</v>
      </c>
      <c r="H72" s="37">
        <f t="shared" si="11"/>
        <v>51089464.505836062</v>
      </c>
      <c r="K72" s="69"/>
      <c r="N72" s="27">
        <f>$N$61*N65</f>
        <v>806667954.93207526</v>
      </c>
      <c r="O72" s="27">
        <f t="shared" ref="O72:Q72" si="23">$N$61*O65</f>
        <v>669794159.86707473</v>
      </c>
      <c r="P72" s="27">
        <f t="shared" si="23"/>
        <v>512479354.50178224</v>
      </c>
      <c r="Q72" s="27">
        <f t="shared" si="23"/>
        <v>331670836.87890816</v>
      </c>
      <c r="R72" s="27">
        <f>$N$61*R65</f>
        <v>123860008.3362961</v>
      </c>
      <c r="U72" s="38"/>
    </row>
    <row r="73" spans="1:21">
      <c r="D73" s="64">
        <f t="shared" si="8"/>
        <v>800051.29839517118</v>
      </c>
      <c r="E73" s="36">
        <f t="shared" si="9"/>
        <v>596043.75256808742</v>
      </c>
      <c r="F73" s="36">
        <f t="shared" si="12"/>
        <v>425745.53754863382</v>
      </c>
      <c r="G73" s="36">
        <f t="shared" si="10"/>
        <v>340596.4300389071</v>
      </c>
      <c r="H73" s="37">
        <f t="shared" si="11"/>
        <v>50289413.20744089</v>
      </c>
      <c r="K73" s="69"/>
      <c r="O73" s="27">
        <f>$O$61*O66</f>
        <v>1210001932.398113</v>
      </c>
      <c r="P73" s="27">
        <f>$O$61*P66</f>
        <v>1004691239.8006122</v>
      </c>
      <c r="Q73" s="27">
        <f>$O$61*Q66</f>
        <v>768719031.75267339</v>
      </c>
      <c r="R73" s="27">
        <f>$O$61*R66</f>
        <v>497506255.31836218</v>
      </c>
      <c r="S73" s="27">
        <f>$O$61*S66</f>
        <v>185790012.50444415</v>
      </c>
      <c r="U73" s="38"/>
    </row>
    <row r="74" spans="1:21">
      <c r="D74" s="64">
        <f t="shared" si="8"/>
        <v>809385.23020978156</v>
      </c>
      <c r="E74" s="36">
        <f t="shared" si="9"/>
        <v>586709.82075347705</v>
      </c>
      <c r="F74" s="36">
        <f t="shared" si="12"/>
        <v>419078.44339534076</v>
      </c>
      <c r="G74" s="36">
        <f t="shared" si="10"/>
        <v>335262.75471627264</v>
      </c>
      <c r="H74" s="37">
        <f t="shared" si="11"/>
        <v>49480027.977231108</v>
      </c>
      <c r="K74" s="69"/>
      <c r="P74" s="27">
        <f>P67*$P$61</f>
        <v>1702965682.6343813</v>
      </c>
      <c r="Q74" s="27">
        <f>Q67*$P$61</f>
        <v>1414009893.0527134</v>
      </c>
      <c r="R74" s="27">
        <f>R67*$P$61</f>
        <v>1081900859.5037625</v>
      </c>
      <c r="S74" s="27">
        <f>S67*$P$61</f>
        <v>700193988.96658385</v>
      </c>
      <c r="T74" s="27">
        <f>T67*$P$61</f>
        <v>261482239.82106954</v>
      </c>
      <c r="U74" s="38"/>
    </row>
    <row r="75" spans="1:21">
      <c r="D75" s="64">
        <f t="shared" si="8"/>
        <v>818828.05789556238</v>
      </c>
      <c r="E75" s="36">
        <f t="shared" si="9"/>
        <v>577266.99306769622</v>
      </c>
      <c r="F75" s="36">
        <f t="shared" si="12"/>
        <v>412333.56647692592</v>
      </c>
      <c r="G75" s="36">
        <f t="shared" si="10"/>
        <v>329866.85318154073</v>
      </c>
      <c r="H75" s="37">
        <f t="shared" si="11"/>
        <v>48661199.919335544</v>
      </c>
      <c r="K75" s="69"/>
      <c r="U75" s="38"/>
    </row>
    <row r="76" spans="1:21">
      <c r="D76" s="64">
        <f t="shared" si="8"/>
        <v>828381.05190434388</v>
      </c>
      <c r="E76" s="36">
        <f t="shared" si="9"/>
        <v>567713.99905891472</v>
      </c>
      <c r="F76" s="36">
        <f t="shared" si="12"/>
        <v>405509.99932779622</v>
      </c>
      <c r="G76" s="36">
        <f t="shared" si="10"/>
        <v>324407.999462237</v>
      </c>
      <c r="H76" s="37">
        <f t="shared" si="11"/>
        <v>47832818.867431201</v>
      </c>
      <c r="J76" s="27" t="s">
        <v>725</v>
      </c>
      <c r="K76" s="71">
        <f>SUM(K69:K74)</f>
        <v>233037409.20259956</v>
      </c>
      <c r="L76" s="72">
        <f>SUM(L69:L74)</f>
        <v>552015181.70918846</v>
      </c>
      <c r="M76" s="72">
        <f t="shared" ref="M76:S76" si="24">SUM(M69:M74)</f>
        <v>983514521.19615388</v>
      </c>
      <c r="N76" s="72">
        <f t="shared" si="24"/>
        <v>1576782016.3870463</v>
      </c>
      <c r="O76" s="72">
        <f t="shared" si="24"/>
        <v>2404640036.287487</v>
      </c>
      <c r="P76" s="72">
        <f t="shared" si="24"/>
        <v>3496299060.7832909</v>
      </c>
      <c r="Q76" s="72">
        <f t="shared" si="24"/>
        <v>2596973100.5751591</v>
      </c>
      <c r="R76" s="72">
        <f t="shared" si="24"/>
        <v>1703267123.1584208</v>
      </c>
      <c r="S76" s="72">
        <f t="shared" si="24"/>
        <v>885984001.47102797</v>
      </c>
      <c r="T76" s="72">
        <f>SUM(T69:T74)</f>
        <v>261482239.82106954</v>
      </c>
      <c r="U76" s="40"/>
    </row>
    <row r="77" spans="1:21">
      <c r="D77" s="64">
        <f t="shared" si="8"/>
        <v>838045.49750989454</v>
      </c>
      <c r="E77" s="36">
        <f t="shared" si="9"/>
        <v>558049.55345336406</v>
      </c>
      <c r="F77" s="36">
        <f t="shared" si="12"/>
        <v>398606.82389525999</v>
      </c>
      <c r="G77" s="36">
        <f t="shared" si="10"/>
        <v>318885.45911620802</v>
      </c>
      <c r="H77" s="37">
        <f t="shared" si="11"/>
        <v>46994773.369921304</v>
      </c>
    </row>
    <row r="78" spans="1:21">
      <c r="D78" s="64">
        <f t="shared" si="8"/>
        <v>847822.69498084334</v>
      </c>
      <c r="E78" s="36">
        <f t="shared" si="9"/>
        <v>548272.35598241526</v>
      </c>
      <c r="F78" s="36">
        <f t="shared" si="12"/>
        <v>391623.11141601088</v>
      </c>
      <c r="G78" s="36">
        <f t="shared" si="10"/>
        <v>313298.4891328087</v>
      </c>
      <c r="H78" s="37">
        <f t="shared" si="11"/>
        <v>46146950.674940459</v>
      </c>
    </row>
    <row r="79" spans="1:21">
      <c r="D79" s="64">
        <f t="shared" si="8"/>
        <v>857713.95975561987</v>
      </c>
      <c r="E79" s="36">
        <f t="shared" si="9"/>
        <v>538381.09120763873</v>
      </c>
      <c r="F79" s="36">
        <f t="shared" si="12"/>
        <v>384557.92229117051</v>
      </c>
      <c r="G79" s="36">
        <f t="shared" si="10"/>
        <v>307646.33783293644</v>
      </c>
      <c r="H79" s="37">
        <f t="shared" si="11"/>
        <v>45289236.715184838</v>
      </c>
    </row>
    <row r="80" spans="1:21">
      <c r="D80" s="64">
        <f t="shared" si="8"/>
        <v>867720.62261943542</v>
      </c>
      <c r="E80" s="36">
        <f t="shared" si="9"/>
        <v>528374.42834382318</v>
      </c>
      <c r="F80" s="36">
        <f t="shared" si="12"/>
        <v>377410.30595987366</v>
      </c>
      <c r="G80" s="36">
        <f t="shared" si="10"/>
        <v>301928.24476789893</v>
      </c>
      <c r="H80" s="37">
        <f t="shared" si="11"/>
        <v>44421516.092565402</v>
      </c>
      <c r="K80" s="31" t="s">
        <v>735</v>
      </c>
    </row>
    <row r="81" spans="4:21">
      <c r="D81" s="64">
        <f t="shared" si="8"/>
        <v>877844.02988332883</v>
      </c>
      <c r="E81" s="36">
        <f t="shared" si="9"/>
        <v>518251.02107992972</v>
      </c>
      <c r="F81" s="36">
        <f t="shared" si="12"/>
        <v>370179.30077137833</v>
      </c>
      <c r="G81" s="36">
        <f t="shared" si="10"/>
        <v>296143.44061710272</v>
      </c>
      <c r="H81" s="37">
        <f t="shared" si="11"/>
        <v>43543672.062682077</v>
      </c>
      <c r="J81" s="27" t="s">
        <v>724</v>
      </c>
      <c r="K81" s="101">
        <v>2025</v>
      </c>
      <c r="L81" s="33">
        <v>2026</v>
      </c>
      <c r="M81" s="33">
        <v>2027</v>
      </c>
      <c r="N81" s="33">
        <v>2028</v>
      </c>
      <c r="O81" s="33">
        <v>2029</v>
      </c>
      <c r="P81" s="33">
        <v>2030</v>
      </c>
      <c r="Q81" s="33">
        <v>2031</v>
      </c>
      <c r="R81" s="33">
        <v>2032</v>
      </c>
      <c r="S81" s="33">
        <v>2033</v>
      </c>
      <c r="T81" s="33">
        <v>2034</v>
      </c>
      <c r="U81" s="55"/>
    </row>
    <row r="82" spans="4:21">
      <c r="D82" s="64">
        <f t="shared" si="8"/>
        <v>888085.54356530099</v>
      </c>
      <c r="E82" s="36">
        <f t="shared" si="9"/>
        <v>508009.50739795761</v>
      </c>
      <c r="F82" s="36">
        <f t="shared" si="12"/>
        <v>362863.93385568395</v>
      </c>
      <c r="G82" s="36">
        <f t="shared" si="10"/>
        <v>290291.14708454721</v>
      </c>
      <c r="H82" s="37">
        <f t="shared" si="11"/>
        <v>42655586.519116774</v>
      </c>
      <c r="K82" s="68">
        <f>'costing variables'!G42+'costing variables'!H42</f>
        <v>10.399999999999999</v>
      </c>
      <c r="L82" s="36">
        <f>'costing variables'!I42</f>
        <v>15.999999999999998</v>
      </c>
      <c r="M82" s="36">
        <f>'costing variables'!J42</f>
        <v>23.999999999999996</v>
      </c>
      <c r="N82" s="36">
        <f>'costing variables'!K42</f>
        <v>35.999999999999993</v>
      </c>
      <c r="O82" s="36">
        <f>'costing variables'!L42</f>
        <v>53.999999999999993</v>
      </c>
      <c r="P82" s="36">
        <f>'costing variables'!M42</f>
        <v>75.999999999999986</v>
      </c>
      <c r="U82" s="38"/>
    </row>
    <row r="83" spans="4:21">
      <c r="D83" s="64">
        <f t="shared" si="8"/>
        <v>898446.54157356289</v>
      </c>
      <c r="E83" s="36">
        <f t="shared" si="9"/>
        <v>497648.50938969571</v>
      </c>
      <c r="F83" s="36">
        <f t="shared" si="12"/>
        <v>355463.22099263978</v>
      </c>
      <c r="G83" s="36">
        <f t="shared" si="10"/>
        <v>284370.57679411187</v>
      </c>
      <c r="H83" s="37">
        <f t="shared" si="11"/>
        <v>41757139.977543212</v>
      </c>
      <c r="K83" s="68">
        <f>SUM(G61:G72)</f>
        <v>4481488.6385115292</v>
      </c>
      <c r="L83" s="36">
        <f>SUM(G73:G84)</f>
        <v>3721078.6659281924</v>
      </c>
      <c r="M83" s="36">
        <f>SUM(G85:G96)</f>
        <v>2847107.5250099017</v>
      </c>
      <c r="N83" s="36">
        <f>SUM(G97:G108)</f>
        <v>1842615.7604383787</v>
      </c>
      <c r="O83" s="36">
        <f>SUM(G109:G120)</f>
        <v>688111.15742386726</v>
      </c>
      <c r="P83" s="36"/>
      <c r="U83" s="38"/>
    </row>
    <row r="84" spans="4:21">
      <c r="D84" s="64">
        <f t="shared" si="8"/>
        <v>908928.41789192113</v>
      </c>
      <c r="E84" s="36">
        <f t="shared" si="9"/>
        <v>487166.63307133748</v>
      </c>
      <c r="F84" s="36">
        <f t="shared" si="12"/>
        <v>347976.16647952679</v>
      </c>
      <c r="G84" s="36">
        <f t="shared" si="10"/>
        <v>278380.93318362144</v>
      </c>
      <c r="H84" s="37">
        <f t="shared" si="11"/>
        <v>40848211.559651293</v>
      </c>
      <c r="K84" s="69"/>
      <c r="L84" s="36">
        <f>K83</f>
        <v>4481488.6385115292</v>
      </c>
      <c r="M84" s="36">
        <f t="shared" ref="M84" si="25">L83</f>
        <v>3721078.6659281924</v>
      </c>
      <c r="N84" s="36">
        <f t="shared" ref="N84:N85" si="26">M83</f>
        <v>2847107.5250099017</v>
      </c>
      <c r="O84" s="36">
        <f t="shared" ref="O84:O86" si="27">N83</f>
        <v>1842615.7604383787</v>
      </c>
      <c r="P84" s="36">
        <f t="shared" ref="P84:P87" si="28">O83</f>
        <v>688111.15742386726</v>
      </c>
      <c r="U84" s="38"/>
    </row>
    <row r="85" spans="4:21">
      <c r="D85" s="64">
        <f t="shared" si="8"/>
        <v>919532.58276732685</v>
      </c>
      <c r="E85" s="36">
        <f t="shared" si="9"/>
        <v>476562.46819593175</v>
      </c>
      <c r="F85" s="36">
        <f t="shared" si="12"/>
        <v>340401.76299709408</v>
      </c>
      <c r="G85" s="36">
        <f t="shared" si="10"/>
        <v>272321.4103976753</v>
      </c>
      <c r="H85" s="37">
        <f t="shared" si="11"/>
        <v>39928678.976883963</v>
      </c>
      <c r="K85" s="69"/>
      <c r="M85" s="36">
        <f>L84</f>
        <v>4481488.6385115292</v>
      </c>
      <c r="N85" s="36">
        <f t="shared" si="26"/>
        <v>3721078.6659281924</v>
      </c>
      <c r="O85" s="36">
        <f t="shared" si="27"/>
        <v>2847107.5250099017</v>
      </c>
      <c r="P85" s="36">
        <f t="shared" si="28"/>
        <v>1842615.7604383787</v>
      </c>
      <c r="Q85" s="36">
        <f t="shared" ref="Q85:Q88" si="29">P84</f>
        <v>688111.15742386726</v>
      </c>
      <c r="U85" s="38"/>
    </row>
    <row r="86" spans="4:21">
      <c r="D86" s="64">
        <f t="shared" si="8"/>
        <v>930260.46289961238</v>
      </c>
      <c r="E86" s="36">
        <f t="shared" si="9"/>
        <v>465834.58806364622</v>
      </c>
      <c r="F86" s="36">
        <f t="shared" si="12"/>
        <v>332738.99147403304</v>
      </c>
      <c r="G86" s="36">
        <f t="shared" si="10"/>
        <v>266191.19317922642</v>
      </c>
      <c r="H86" s="37">
        <f t="shared" si="11"/>
        <v>38998418.513984352</v>
      </c>
      <c r="K86" s="69"/>
      <c r="N86" s="36">
        <f>M85</f>
        <v>4481488.6385115292</v>
      </c>
      <c r="O86" s="36">
        <f t="shared" si="27"/>
        <v>3721078.6659281924</v>
      </c>
      <c r="P86" s="36">
        <f t="shared" si="28"/>
        <v>2847107.5250099017</v>
      </c>
      <c r="Q86" s="36">
        <f t="shared" si="29"/>
        <v>1842615.7604383787</v>
      </c>
      <c r="R86" s="36">
        <f t="shared" ref="R86:R88" si="30">Q85</f>
        <v>688111.15742386726</v>
      </c>
      <c r="U86" s="38"/>
    </row>
    <row r="87" spans="4:21">
      <c r="D87" s="64">
        <f t="shared" si="8"/>
        <v>941113.50163344108</v>
      </c>
      <c r="E87" s="36">
        <f t="shared" si="9"/>
        <v>454981.54932981747</v>
      </c>
      <c r="F87" s="36">
        <f t="shared" si="12"/>
        <v>324986.82094986958</v>
      </c>
      <c r="G87" s="36">
        <f t="shared" si="10"/>
        <v>259989.45675989569</v>
      </c>
      <c r="H87" s="37">
        <f t="shared" si="11"/>
        <v>38057305.012350909</v>
      </c>
      <c r="K87" s="69"/>
      <c r="O87" s="36">
        <f>N86</f>
        <v>4481488.6385115292</v>
      </c>
      <c r="P87" s="36">
        <f t="shared" si="28"/>
        <v>3721078.6659281924</v>
      </c>
      <c r="Q87" s="36">
        <f t="shared" si="29"/>
        <v>2847107.5250099017</v>
      </c>
      <c r="R87" s="36">
        <f t="shared" si="30"/>
        <v>1842615.7604383787</v>
      </c>
      <c r="S87" s="36">
        <f t="shared" ref="S87:S88" si="31">R86</f>
        <v>688111.15742386726</v>
      </c>
      <c r="U87" s="38"/>
    </row>
    <row r="88" spans="4:21">
      <c r="D88" s="64">
        <f t="shared" si="8"/>
        <v>952093.159152498</v>
      </c>
      <c r="E88" s="36">
        <f t="shared" si="9"/>
        <v>444001.89181076066</v>
      </c>
      <c r="F88" s="36">
        <f t="shared" si="12"/>
        <v>317144.20843625756</v>
      </c>
      <c r="G88" s="36">
        <f t="shared" si="10"/>
        <v>253715.36674900609</v>
      </c>
      <c r="H88" s="37">
        <f t="shared" si="11"/>
        <v>37105211.853198409</v>
      </c>
      <c r="K88" s="69"/>
      <c r="P88" s="36">
        <f>O87</f>
        <v>4481488.6385115292</v>
      </c>
      <c r="Q88" s="36">
        <f t="shared" si="29"/>
        <v>3721078.6659281924</v>
      </c>
      <c r="R88" s="36">
        <f t="shared" si="30"/>
        <v>2847107.5250099017</v>
      </c>
      <c r="S88" s="36">
        <f t="shared" si="31"/>
        <v>1842615.7604383787</v>
      </c>
      <c r="T88" s="36">
        <f t="shared" ref="T88" si="32">S87</f>
        <v>688111.15742386726</v>
      </c>
      <c r="U88" s="38"/>
    </row>
    <row r="89" spans="4:21">
      <c r="D89" s="64">
        <f t="shared" si="8"/>
        <v>963200.91267594381</v>
      </c>
      <c r="E89" s="36">
        <f t="shared" si="9"/>
        <v>432894.1382873148</v>
      </c>
      <c r="F89" s="36">
        <f t="shared" si="12"/>
        <v>309210.09877665341</v>
      </c>
      <c r="G89" s="36">
        <f t="shared" si="10"/>
        <v>247368.07902132274</v>
      </c>
      <c r="H89" s="37">
        <f t="shared" si="11"/>
        <v>36142010.940522462</v>
      </c>
      <c r="K89" s="69"/>
      <c r="U89" s="38"/>
    </row>
    <row r="90" spans="4:21">
      <c r="D90" s="64">
        <f t="shared" si="8"/>
        <v>974438.25665716315</v>
      </c>
      <c r="E90" s="36">
        <f t="shared" si="9"/>
        <v>421656.7943060954</v>
      </c>
      <c r="F90" s="36">
        <f t="shared" si="12"/>
        <v>301183.42450435384</v>
      </c>
      <c r="G90" s="36">
        <f t="shared" si="10"/>
        <v>240946.73960348309</v>
      </c>
      <c r="H90" s="37">
        <f t="shared" si="11"/>
        <v>35167572.683865301</v>
      </c>
      <c r="K90" s="70">
        <f>K82*K83</f>
        <v>46607481.840519898</v>
      </c>
      <c r="L90" s="45">
        <f>L82*L83</f>
        <v>59537258.654851072</v>
      </c>
      <c r="M90" s="45">
        <f>M82*M83</f>
        <v>68330580.600237638</v>
      </c>
      <c r="N90" s="45">
        <f>N82*N83</f>
        <v>66334167.375781618</v>
      </c>
      <c r="O90" s="45">
        <f>O82*O83</f>
        <v>37158002.500888824</v>
      </c>
      <c r="U90" s="38"/>
    </row>
    <row r="91" spans="4:21">
      <c r="D91" s="64">
        <f t="shared" si="8"/>
        <v>985806.70298483013</v>
      </c>
      <c r="E91" s="36">
        <f t="shared" si="9"/>
        <v>410288.34797842853</v>
      </c>
      <c r="F91" s="36">
        <f t="shared" si="12"/>
        <v>293063.10569887748</v>
      </c>
      <c r="G91" s="36">
        <f t="shared" si="10"/>
        <v>234450.48455910201</v>
      </c>
      <c r="H91" s="37">
        <f t="shared" si="11"/>
        <v>34181765.980880469</v>
      </c>
      <c r="K91" s="69"/>
      <c r="L91" s="27">
        <f>$L$82*L84</f>
        <v>71703818.216184452</v>
      </c>
      <c r="M91" s="27">
        <f>$L$82*M84</f>
        <v>59537258.654851072</v>
      </c>
      <c r="N91" s="27">
        <f>$L$82*N84</f>
        <v>45553720.40015842</v>
      </c>
      <c r="O91" s="27">
        <f>$L$82*O84</f>
        <v>29481852.167014055</v>
      </c>
      <c r="P91" s="27">
        <f>$L$82*P84</f>
        <v>11009778.518781874</v>
      </c>
      <c r="U91" s="38"/>
    </row>
    <row r="92" spans="4:21">
      <c r="D92" s="64">
        <f t="shared" si="8"/>
        <v>997307.78118631977</v>
      </c>
      <c r="E92" s="36">
        <f t="shared" si="9"/>
        <v>398787.26977693883</v>
      </c>
      <c r="F92" s="36">
        <f t="shared" si="12"/>
        <v>284848.04984067054</v>
      </c>
      <c r="G92" s="36">
        <f t="shared" si="10"/>
        <v>227878.43987253649</v>
      </c>
      <c r="H92" s="37">
        <f t="shared" si="11"/>
        <v>33184458.199694149</v>
      </c>
      <c r="K92" s="69"/>
      <c r="M92" s="27">
        <f>M85*$M$82</f>
        <v>107555727.32427669</v>
      </c>
      <c r="N92" s="27">
        <f>N85*$M$82</f>
        <v>89305887.982276604</v>
      </c>
      <c r="O92" s="27">
        <f>O85*$M$82</f>
        <v>68330580.600237638</v>
      </c>
      <c r="P92" s="27">
        <f>P85*$M$82</f>
        <v>44222778.250521079</v>
      </c>
      <c r="Q92" s="27">
        <f>Q85*$M$82</f>
        <v>16514667.778172811</v>
      </c>
      <c r="U92" s="38"/>
    </row>
    <row r="93" spans="4:21">
      <c r="D93" s="64">
        <f t="shared" ref="D93:D120" si="33">$B$61-E93</f>
        <v>1008943.0386334935</v>
      </c>
      <c r="E93" s="36">
        <f t="shared" ref="E93:E120" si="34">H92*($B$62)</f>
        <v>387152.01232976507</v>
      </c>
      <c r="F93" s="36">
        <f t="shared" si="12"/>
        <v>276537.15166411793</v>
      </c>
      <c r="G93" s="36">
        <f t="shared" si="10"/>
        <v>221229.72133129433</v>
      </c>
      <c r="H93" s="37">
        <f t="shared" si="11"/>
        <v>32175515.161060657</v>
      </c>
      <c r="K93" s="69"/>
      <c r="N93" s="27">
        <f>$N$82*N86</f>
        <v>161333590.98641503</v>
      </c>
      <c r="O93" s="27">
        <f>$N$82*O86</f>
        <v>133958831.9734149</v>
      </c>
      <c r="P93" s="27">
        <f>$N$82*P86</f>
        <v>102495870.90035644</v>
      </c>
      <c r="Q93" s="27">
        <f>$N$82*Q86</f>
        <v>66334167.375781618</v>
      </c>
      <c r="R93" s="27">
        <f>$N$82*R86</f>
        <v>24772001.667259216</v>
      </c>
      <c r="U93" s="38"/>
    </row>
    <row r="94" spans="4:21">
      <c r="D94" s="64">
        <f t="shared" si="33"/>
        <v>1020714.0407508842</v>
      </c>
      <c r="E94" s="36">
        <f t="shared" si="34"/>
        <v>375381.01021237433</v>
      </c>
      <c r="F94" s="36">
        <f t="shared" si="12"/>
        <v>268129.29300883878</v>
      </c>
      <c r="G94" s="36">
        <f t="shared" si="10"/>
        <v>214503.43440707106</v>
      </c>
      <c r="H94" s="37">
        <f t="shared" ref="H94:H120" si="35">H93-D94</f>
        <v>31154801.120309774</v>
      </c>
      <c r="K94" s="69"/>
      <c r="O94" s="27">
        <f>$O$82*O87</f>
        <v>242000386.47962254</v>
      </c>
      <c r="P94" s="27">
        <f>$O$82*P87</f>
        <v>200938247.96012238</v>
      </c>
      <c r="Q94" s="27">
        <f>$O$82*Q87</f>
        <v>153743806.35053468</v>
      </c>
      <c r="R94" s="27">
        <f>$O$82*R87</f>
        <v>99501251.063672438</v>
      </c>
      <c r="S94" s="27">
        <f>$O$82*S87</f>
        <v>37158002.500888824</v>
      </c>
      <c r="U94" s="38"/>
    </row>
    <row r="95" spans="4:21">
      <c r="D95" s="64">
        <f t="shared" si="33"/>
        <v>1032622.3712263112</v>
      </c>
      <c r="E95" s="36">
        <f t="shared" si="34"/>
        <v>363472.67973694735</v>
      </c>
      <c r="F95" s="36">
        <f t="shared" si="12"/>
        <v>259623.34266924812</v>
      </c>
      <c r="G95" s="36">
        <f t="shared" si="10"/>
        <v>207698.6741353985</v>
      </c>
      <c r="H95" s="37">
        <f t="shared" si="35"/>
        <v>30122178.749083463</v>
      </c>
      <c r="K95" s="69"/>
      <c r="P95" s="27">
        <f>P88*$P$82</f>
        <v>340593136.52687615</v>
      </c>
      <c r="Q95" s="27">
        <f>Q88*$P$82</f>
        <v>282801978.6105426</v>
      </c>
      <c r="R95" s="27">
        <f>R88*$P$82</f>
        <v>216380171.90075248</v>
      </c>
      <c r="S95" s="27">
        <f>S88*$P$82</f>
        <v>140038797.79331675</v>
      </c>
      <c r="T95" s="27">
        <f>T88*$P$82</f>
        <v>52296447.9642139</v>
      </c>
      <c r="U95" s="38"/>
    </row>
    <row r="96" spans="4:21">
      <c r="D96" s="64">
        <f t="shared" si="33"/>
        <v>1044669.6322239515</v>
      </c>
      <c r="E96" s="36">
        <f t="shared" si="34"/>
        <v>351425.41873930709</v>
      </c>
      <c r="F96" s="36">
        <f t="shared" si="12"/>
        <v>251018.15624236219</v>
      </c>
      <c r="G96" s="36">
        <f t="shared" si="10"/>
        <v>200814.52499388976</v>
      </c>
      <c r="H96" s="37">
        <f t="shared" si="35"/>
        <v>29077509.116859511</v>
      </c>
      <c r="K96" s="69"/>
      <c r="U96" s="38"/>
    </row>
    <row r="97" spans="4:21">
      <c r="D97" s="64">
        <f t="shared" si="33"/>
        <v>1056857.4445998976</v>
      </c>
      <c r="E97" s="36">
        <f t="shared" si="34"/>
        <v>339237.60636336094</v>
      </c>
      <c r="F97" s="36">
        <f t="shared" si="12"/>
        <v>242312.57597382925</v>
      </c>
      <c r="G97" s="36">
        <f t="shared" si="10"/>
        <v>193850.06077906341</v>
      </c>
      <c r="H97" s="37">
        <f t="shared" si="35"/>
        <v>28020651.672259614</v>
      </c>
      <c r="J97" s="27" t="s">
        <v>725</v>
      </c>
      <c r="K97" s="71">
        <f>SUM(K90:K95)</f>
        <v>46607481.840519898</v>
      </c>
      <c r="L97" s="72">
        <f>SUM(L90:L95)</f>
        <v>131241076.87103552</v>
      </c>
      <c r="M97" s="72">
        <f t="shared" ref="M97:S97" si="36">SUM(M90:M95)</f>
        <v>235423566.5793654</v>
      </c>
      <c r="N97" s="72">
        <f t="shared" si="36"/>
        <v>362527366.74463165</v>
      </c>
      <c r="O97" s="72">
        <f t="shared" si="36"/>
        <v>510929653.721178</v>
      </c>
      <c r="P97" s="72">
        <f t="shared" si="36"/>
        <v>699259812.15665793</v>
      </c>
      <c r="Q97" s="72">
        <f t="shared" si="36"/>
        <v>519394620.11503172</v>
      </c>
      <c r="R97" s="72">
        <f t="shared" si="36"/>
        <v>340653424.63168412</v>
      </c>
      <c r="S97" s="72">
        <f t="shared" si="36"/>
        <v>177196800.29420558</v>
      </c>
      <c r="T97" s="72">
        <f>SUM(T90:T95)</f>
        <v>52296447.9642139</v>
      </c>
      <c r="U97" s="40"/>
    </row>
    <row r="98" spans="4:21">
      <c r="D98" s="64">
        <f t="shared" si="33"/>
        <v>1069187.4481202299</v>
      </c>
      <c r="E98" s="36">
        <f t="shared" si="34"/>
        <v>326907.60284302884</v>
      </c>
      <c r="F98" s="36">
        <f t="shared" si="12"/>
        <v>233505.43060216345</v>
      </c>
      <c r="G98" s="36">
        <f t="shared" si="10"/>
        <v>186804.34448173078</v>
      </c>
      <c r="H98" s="37">
        <f t="shared" si="35"/>
        <v>26951464.224139385</v>
      </c>
    </row>
    <row r="99" spans="4:21">
      <c r="D99" s="64">
        <f t="shared" si="33"/>
        <v>1081661.3016816324</v>
      </c>
      <c r="E99" s="36">
        <f t="shared" si="34"/>
        <v>314433.74928162619</v>
      </c>
      <c r="F99" s="36">
        <f t="shared" si="12"/>
        <v>224595.53520116155</v>
      </c>
      <c r="G99" s="36">
        <f t="shared" si="10"/>
        <v>179676.42816092924</v>
      </c>
      <c r="H99" s="37">
        <f t="shared" si="35"/>
        <v>25869802.922457751</v>
      </c>
    </row>
    <row r="100" spans="4:21">
      <c r="D100" s="64">
        <f t="shared" si="33"/>
        <v>1094280.6835345849</v>
      </c>
      <c r="E100" s="36">
        <f t="shared" si="34"/>
        <v>301814.36742867378</v>
      </c>
      <c r="F100" s="36">
        <f t="shared" si="12"/>
        <v>215581.69102048126</v>
      </c>
      <c r="G100" s="36">
        <f t="shared" si="10"/>
        <v>172465.35281638501</v>
      </c>
      <c r="H100" s="37">
        <f t="shared" si="35"/>
        <v>24775522.238923166</v>
      </c>
    </row>
    <row r="101" spans="4:21">
      <c r="D101" s="64">
        <f t="shared" si="33"/>
        <v>1107047.291509155</v>
      </c>
      <c r="E101" s="36">
        <f t="shared" si="34"/>
        <v>289047.75945410359</v>
      </c>
      <c r="F101" s="36">
        <f t="shared" si="12"/>
        <v>206462.68532435971</v>
      </c>
      <c r="G101" s="36">
        <f t="shared" si="10"/>
        <v>165170.14825948779</v>
      </c>
      <c r="H101" s="37">
        <f t="shared" si="35"/>
        <v>23668474.947414011</v>
      </c>
    </row>
    <row r="102" spans="4:21">
      <c r="D102" s="64">
        <f t="shared" si="33"/>
        <v>1119962.8432434285</v>
      </c>
      <c r="E102" s="36">
        <f t="shared" si="34"/>
        <v>276132.20771983016</v>
      </c>
      <c r="F102" s="36">
        <f t="shared" si="12"/>
        <v>197237.29122845008</v>
      </c>
      <c r="G102" s="36">
        <f t="shared" si="10"/>
        <v>157789.83298276007</v>
      </c>
      <c r="H102" s="37">
        <f t="shared" si="35"/>
        <v>22548512.104170583</v>
      </c>
    </row>
    <row r="103" spans="4:21">
      <c r="D103" s="64">
        <f t="shared" si="33"/>
        <v>1133029.0764146019</v>
      </c>
      <c r="E103" s="36">
        <f t="shared" si="34"/>
        <v>263065.97454865684</v>
      </c>
      <c r="F103" s="36">
        <f t="shared" si="12"/>
        <v>187904.26753475485</v>
      </c>
      <c r="G103" s="36">
        <f t="shared" si="10"/>
        <v>150323.4140278039</v>
      </c>
      <c r="H103" s="37">
        <f t="shared" si="35"/>
        <v>21415483.027755983</v>
      </c>
      <c r="K103" s="31" t="s">
        <v>736</v>
      </c>
    </row>
    <row r="104" spans="4:21">
      <c r="D104" s="64">
        <f t="shared" si="33"/>
        <v>1146247.7489727722</v>
      </c>
      <c r="E104" s="36">
        <f t="shared" si="34"/>
        <v>249847.30199048648</v>
      </c>
      <c r="F104" s="36">
        <f t="shared" si="12"/>
        <v>178462.35856463318</v>
      </c>
      <c r="G104" s="36">
        <f t="shared" si="10"/>
        <v>142769.88685170657</v>
      </c>
      <c r="H104" s="37">
        <f t="shared" si="35"/>
        <v>20269235.27878321</v>
      </c>
      <c r="K104" s="101">
        <v>2025</v>
      </c>
      <c r="L104" s="33">
        <v>2026</v>
      </c>
      <c r="M104" s="33">
        <v>2027</v>
      </c>
      <c r="N104" s="33">
        <v>2028</v>
      </c>
      <c r="O104" s="33">
        <v>2029</v>
      </c>
      <c r="P104" s="33">
        <v>2030</v>
      </c>
      <c r="Q104" s="33">
        <v>2031</v>
      </c>
      <c r="R104" s="33">
        <v>2032</v>
      </c>
      <c r="S104" s="33">
        <v>2033</v>
      </c>
      <c r="T104" s="34">
        <v>2034</v>
      </c>
    </row>
    <row r="105" spans="4:21">
      <c r="D105" s="64">
        <f t="shared" si="33"/>
        <v>1159620.6393774545</v>
      </c>
      <c r="E105" s="36">
        <f t="shared" si="34"/>
        <v>236474.41158580413</v>
      </c>
      <c r="F105" s="36">
        <f t="shared" si="12"/>
        <v>168910.29398986007</v>
      </c>
      <c r="G105" s="36">
        <f t="shared" si="10"/>
        <v>135128.23519188806</v>
      </c>
      <c r="H105" s="37">
        <f t="shared" si="35"/>
        <v>19109614.639405753</v>
      </c>
      <c r="J105" s="27" t="s">
        <v>727</v>
      </c>
      <c r="K105" s="68">
        <f>(K82+K61)*'costing variables'!$D$53</f>
        <v>36.4</v>
      </c>
      <c r="L105" s="36">
        <f>(L82+L61)*'costing variables'!$D$53</f>
        <v>56</v>
      </c>
      <c r="M105" s="36">
        <f>(M82+M61)*'costing variables'!$D$53</f>
        <v>84</v>
      </c>
      <c r="N105" s="36">
        <f>(N82+N61)*'costing variables'!$D$53</f>
        <v>125.99999999999999</v>
      </c>
      <c r="O105" s="36">
        <f>(O82+O61)*'costing variables'!$D$53</f>
        <v>189</v>
      </c>
      <c r="P105" s="36">
        <f>(P82+P61)*'costing variables'!$D$53</f>
        <v>266</v>
      </c>
      <c r="T105" s="38"/>
    </row>
    <row r="106" spans="4:21">
      <c r="D106" s="64">
        <f t="shared" si="33"/>
        <v>1173149.5468368581</v>
      </c>
      <c r="E106" s="36">
        <f t="shared" si="34"/>
        <v>222945.50412640045</v>
      </c>
      <c r="F106" s="36">
        <f t="shared" si="12"/>
        <v>159246.78866171461</v>
      </c>
      <c r="G106" s="36">
        <f t="shared" si="10"/>
        <v>127397.43092937169</v>
      </c>
      <c r="H106" s="37">
        <f t="shared" si="35"/>
        <v>17936465.092568897</v>
      </c>
      <c r="J106" s="27" t="s">
        <v>728</v>
      </c>
      <c r="K106" s="76">
        <f>K105*$B$63*'costing variables'!$D$52</f>
        <v>1528800000</v>
      </c>
      <c r="L106" s="77">
        <f>L105*$B$63*'costing variables'!$D$52</f>
        <v>2352000000</v>
      </c>
      <c r="M106" s="77">
        <f>M105*$B$63*'costing variables'!$D$52</f>
        <v>3528000000</v>
      </c>
      <c r="N106" s="77">
        <f>N105*$B$63*'costing variables'!$D$52</f>
        <v>5291999999.999999</v>
      </c>
      <c r="O106" s="77">
        <f>O105*$B$63*'costing variables'!$D$52</f>
        <v>7937999999.999999</v>
      </c>
      <c r="P106" s="77">
        <f>P105*$B$63*'costing variables'!$D$52</f>
        <v>11172000000</v>
      </c>
      <c r="T106" s="38"/>
    </row>
    <row r="107" spans="4:21">
      <c r="D107" s="64">
        <f t="shared" si="33"/>
        <v>1186836.2915499548</v>
      </c>
      <c r="E107" s="36">
        <f t="shared" si="34"/>
        <v>209258.75941330381</v>
      </c>
      <c r="F107" s="36">
        <f t="shared" si="12"/>
        <v>149470.54243807413</v>
      </c>
      <c r="G107" s="36">
        <f t="shared" si="10"/>
        <v>119576.43395045932</v>
      </c>
      <c r="H107" s="37">
        <f t="shared" si="35"/>
        <v>16749628.801018942</v>
      </c>
      <c r="K107" s="69"/>
      <c r="T107" s="38"/>
    </row>
    <row r="108" spans="4:21">
      <c r="D108" s="64">
        <f t="shared" si="33"/>
        <v>1200682.7149513708</v>
      </c>
      <c r="E108" s="36">
        <f t="shared" si="34"/>
        <v>195412.33601188767</v>
      </c>
      <c r="F108" s="36">
        <f t="shared" si="12"/>
        <v>139580.24000849118</v>
      </c>
      <c r="G108" s="36">
        <f t="shared" si="10"/>
        <v>111664.19200679296</v>
      </c>
      <c r="H108" s="37">
        <f t="shared" si="35"/>
        <v>15548946.086067572</v>
      </c>
      <c r="K108" s="68">
        <f>K105*(1-'costing variables'!$D$54)</f>
        <v>34.762</v>
      </c>
      <c r="L108" s="36">
        <f>L105*(1-'costing variables'!$D$54)</f>
        <v>53.48</v>
      </c>
      <c r="M108" s="36">
        <f>M105*(1-'costing variables'!$D$54)</f>
        <v>80.22</v>
      </c>
      <c r="N108" s="36">
        <f>N105*(1-'costing variables'!$D$54)</f>
        <v>120.32999999999998</v>
      </c>
      <c r="O108" s="36">
        <f>O105*(1-'costing variables'!$D$54)</f>
        <v>180.495</v>
      </c>
      <c r="P108" s="36">
        <f>P105*(1-'costing variables'!$D$54)</f>
        <v>254.03</v>
      </c>
      <c r="T108" s="38"/>
    </row>
    <row r="109" spans="4:21">
      <c r="D109" s="64">
        <f t="shared" si="33"/>
        <v>1214690.679959137</v>
      </c>
      <c r="E109" s="36">
        <f t="shared" si="34"/>
        <v>181404.3710041217</v>
      </c>
      <c r="F109" s="36">
        <f t="shared" si="12"/>
        <v>129574.55071722977</v>
      </c>
      <c r="G109" s="36">
        <f t="shared" si="10"/>
        <v>103659.64057378382</v>
      </c>
      <c r="H109" s="37">
        <f t="shared" si="35"/>
        <v>14334255.406108435</v>
      </c>
      <c r="K109" s="78">
        <f>SUM(D61:D72)</f>
        <v>8910535.4941639248</v>
      </c>
      <c r="L109" s="94">
        <f>SUM(D73:D84)</f>
        <v>10241252.946184767</v>
      </c>
      <c r="M109" s="94">
        <f>SUM(D85:D96)</f>
        <v>11770702.442791775</v>
      </c>
      <c r="N109" s="94">
        <f>SUM(D97:D108)</f>
        <v>13528563.030791942</v>
      </c>
      <c r="O109" s="94">
        <f>SUM(D109:D120)</f>
        <v>15548946.086067338</v>
      </c>
      <c r="T109" s="38"/>
    </row>
    <row r="110" spans="4:21">
      <c r="D110" s="64">
        <f t="shared" si="33"/>
        <v>1228862.071225327</v>
      </c>
      <c r="E110" s="36">
        <f t="shared" si="34"/>
        <v>167232.97973793175</v>
      </c>
      <c r="F110" s="36">
        <f t="shared" si="12"/>
        <v>119452.12838423696</v>
      </c>
      <c r="G110" s="36">
        <f t="shared" si="10"/>
        <v>95561.702707389573</v>
      </c>
      <c r="H110" s="37">
        <f t="shared" si="35"/>
        <v>13105393.334883109</v>
      </c>
      <c r="K110" s="69"/>
      <c r="L110" s="36">
        <f>K109</f>
        <v>8910535.4941639248</v>
      </c>
      <c r="M110" s="36">
        <f t="shared" ref="M110" si="37">L109</f>
        <v>10241252.946184767</v>
      </c>
      <c r="N110" s="36">
        <f t="shared" ref="N110:N111" si="38">M109</f>
        <v>11770702.442791775</v>
      </c>
      <c r="O110" s="36">
        <f t="shared" ref="O110:P112" si="39">N109</f>
        <v>13528563.030791942</v>
      </c>
      <c r="P110" s="36">
        <f t="shared" si="39"/>
        <v>15548946.086067338</v>
      </c>
      <c r="T110" s="38"/>
    </row>
    <row r="111" spans="4:21">
      <c r="D111" s="64">
        <f t="shared" si="33"/>
        <v>1243198.7953896224</v>
      </c>
      <c r="E111" s="36">
        <f t="shared" si="34"/>
        <v>152896.25557363627</v>
      </c>
      <c r="F111" s="36">
        <f t="shared" si="12"/>
        <v>109211.61112402591</v>
      </c>
      <c r="G111" s="36">
        <f t="shared" si="10"/>
        <v>87369.28889922073</v>
      </c>
      <c r="H111" s="37">
        <f t="shared" si="35"/>
        <v>11862194.539493486</v>
      </c>
      <c r="K111" s="69"/>
      <c r="M111" s="36">
        <f>L110</f>
        <v>8910535.4941639248</v>
      </c>
      <c r="N111" s="36">
        <f t="shared" si="38"/>
        <v>10241252.946184767</v>
      </c>
      <c r="O111" s="36">
        <f t="shared" si="39"/>
        <v>11770702.442791775</v>
      </c>
      <c r="P111" s="36">
        <f t="shared" ref="P111:Q113" si="40">O110</f>
        <v>13528563.030791942</v>
      </c>
      <c r="Q111" s="36">
        <f t="shared" si="40"/>
        <v>15548946.086067338</v>
      </c>
      <c r="T111" s="38"/>
    </row>
    <row r="112" spans="4:21">
      <c r="D112" s="64">
        <f t="shared" si="33"/>
        <v>1257702.7813358346</v>
      </c>
      <c r="E112" s="36">
        <f t="shared" si="34"/>
        <v>138392.26962742402</v>
      </c>
      <c r="F112" s="36">
        <f t="shared" si="12"/>
        <v>98851.621162445721</v>
      </c>
      <c r="G112" s="36">
        <f t="shared" si="10"/>
        <v>79081.296929956574</v>
      </c>
      <c r="H112" s="37">
        <f t="shared" si="35"/>
        <v>10604491.758157652</v>
      </c>
      <c r="K112" s="69"/>
      <c r="N112" s="36">
        <f>M111</f>
        <v>8910535.4941639248</v>
      </c>
      <c r="O112" s="36">
        <f t="shared" si="39"/>
        <v>10241252.946184767</v>
      </c>
      <c r="P112" s="36">
        <f t="shared" si="40"/>
        <v>11770702.442791775</v>
      </c>
      <c r="Q112" s="36">
        <f t="shared" ref="Q112:R114" si="41">P111</f>
        <v>13528563.030791942</v>
      </c>
      <c r="R112" s="36">
        <f t="shared" si="41"/>
        <v>15548946.086067338</v>
      </c>
      <c r="T112" s="38"/>
    </row>
    <row r="113" spans="1:20">
      <c r="D113" s="64">
        <f t="shared" si="33"/>
        <v>1272375.9804514193</v>
      </c>
      <c r="E113" s="36">
        <f t="shared" si="34"/>
        <v>123719.07051183928</v>
      </c>
      <c r="F113" s="36">
        <f t="shared" si="12"/>
        <v>88370.764651313759</v>
      </c>
      <c r="G113" s="36">
        <f t="shared" si="10"/>
        <v>70696.611721051013</v>
      </c>
      <c r="H113" s="37">
        <f t="shared" si="35"/>
        <v>9332115.7777062319</v>
      </c>
      <c r="K113" s="69"/>
      <c r="O113" s="36">
        <f>N112</f>
        <v>8910535.4941639248</v>
      </c>
      <c r="P113" s="36">
        <f t="shared" si="40"/>
        <v>10241252.946184767</v>
      </c>
      <c r="Q113" s="36">
        <f t="shared" si="41"/>
        <v>11770702.442791775</v>
      </c>
      <c r="R113" s="36">
        <f t="shared" ref="R113:S114" si="42">Q112</f>
        <v>13528563.030791942</v>
      </c>
      <c r="S113" s="36">
        <f t="shared" si="42"/>
        <v>15548946.086067338</v>
      </c>
      <c r="T113" s="38"/>
    </row>
    <row r="114" spans="1:20">
      <c r="D114" s="64">
        <f t="shared" si="33"/>
        <v>1287220.3668900193</v>
      </c>
      <c r="E114" s="36">
        <f t="shared" si="34"/>
        <v>108874.68407323938</v>
      </c>
      <c r="F114" s="36">
        <f t="shared" si="12"/>
        <v>77767.631480885262</v>
      </c>
      <c r="G114" s="36">
        <f t="shared" si="10"/>
        <v>62214.10518470822</v>
      </c>
      <c r="H114" s="37">
        <f t="shared" si="35"/>
        <v>8044895.4108162131</v>
      </c>
      <c r="K114" s="69"/>
      <c r="P114" s="36">
        <f>O113</f>
        <v>8910535.4941639248</v>
      </c>
      <c r="Q114" s="36">
        <f t="shared" si="41"/>
        <v>10241252.946184767</v>
      </c>
      <c r="R114" s="36">
        <f t="shared" si="42"/>
        <v>11770702.442791775</v>
      </c>
      <c r="S114" s="36">
        <f t="shared" ref="S114:T114" si="43">R113</f>
        <v>13528563.030791942</v>
      </c>
      <c r="T114" s="37">
        <f t="shared" si="43"/>
        <v>15548946.086067338</v>
      </c>
    </row>
    <row r="115" spans="1:20">
      <c r="D115" s="64">
        <f t="shared" si="33"/>
        <v>1302237.9378370694</v>
      </c>
      <c r="E115" s="36">
        <f t="shared" si="34"/>
        <v>93857.113126189157</v>
      </c>
      <c r="F115" s="36">
        <f t="shared" si="12"/>
        <v>67040.795090135114</v>
      </c>
      <c r="G115" s="36">
        <f t="shared" si="10"/>
        <v>53632.636072108093</v>
      </c>
      <c r="H115" s="37">
        <f t="shared" si="35"/>
        <v>6742657.4729791433</v>
      </c>
      <c r="K115" s="70">
        <f>K109*$K$108</f>
        <v>309748034.84812635</v>
      </c>
      <c r="L115" s="45">
        <f>L109*$K$108</f>
        <v>356006434.91527492</v>
      </c>
      <c r="M115" s="45">
        <f>M109*$K$108</f>
        <v>409173158.31632769</v>
      </c>
      <c r="N115" s="45">
        <f t="shared" ref="N115" si="44">N109*$K$108</f>
        <v>470279908.07638949</v>
      </c>
      <c r="O115" s="45">
        <f>O109*$K$108</f>
        <v>540512463.84387279</v>
      </c>
      <c r="T115" s="38"/>
    </row>
    <row r="116" spans="1:20">
      <c r="D116" s="64">
        <f t="shared" si="33"/>
        <v>1317430.7137785018</v>
      </c>
      <c r="E116" s="36">
        <f t="shared" si="34"/>
        <v>78664.337184756674</v>
      </c>
      <c r="F116" s="36">
        <f t="shared" si="12"/>
        <v>56188.812274826196</v>
      </c>
      <c r="G116" s="36">
        <f t="shared" si="10"/>
        <v>44951.049819860957</v>
      </c>
      <c r="H116" s="37">
        <f t="shared" si="35"/>
        <v>5425226.7592006419</v>
      </c>
      <c r="K116" s="69"/>
      <c r="L116" s="27">
        <f>$L$108*L110</f>
        <v>476535438.22788668</v>
      </c>
      <c r="M116" s="27">
        <f t="shared" ref="M116:P116" si="45">$L$108*M110</f>
        <v>547702207.56196129</v>
      </c>
      <c r="N116" s="27">
        <f t="shared" si="45"/>
        <v>629497166.64050412</v>
      </c>
      <c r="O116" s="27">
        <f t="shared" si="45"/>
        <v>723507550.88675296</v>
      </c>
      <c r="P116" s="27">
        <f t="shared" si="45"/>
        <v>831557636.68288112</v>
      </c>
      <c r="T116" s="38"/>
    </row>
    <row r="117" spans="1:20">
      <c r="D117" s="64">
        <f t="shared" si="33"/>
        <v>1332800.7387725844</v>
      </c>
      <c r="E117" s="36">
        <f t="shared" si="34"/>
        <v>63294.312190674158</v>
      </c>
      <c r="F117" s="36">
        <f t="shared" si="12"/>
        <v>45210.222993338684</v>
      </c>
      <c r="G117" s="36">
        <f t="shared" si="10"/>
        <v>36168.178394670947</v>
      </c>
      <c r="H117" s="37">
        <f t="shared" si="35"/>
        <v>4092426.0204280578</v>
      </c>
      <c r="K117" s="69"/>
      <c r="M117" s="27">
        <f>$M$108*M111</f>
        <v>714803157.34183002</v>
      </c>
      <c r="N117" s="27">
        <f t="shared" ref="N117:Q117" si="46">$M$108*N111</f>
        <v>821553311.342942</v>
      </c>
      <c r="O117" s="27">
        <f t="shared" si="46"/>
        <v>944245749.96075618</v>
      </c>
      <c r="P117" s="27">
        <f t="shared" si="46"/>
        <v>1085261326.3301296</v>
      </c>
      <c r="Q117" s="27">
        <f t="shared" si="46"/>
        <v>1247336455.0243218</v>
      </c>
      <c r="T117" s="38"/>
    </row>
    <row r="118" spans="1:20">
      <c r="D118" s="64">
        <f t="shared" si="33"/>
        <v>1348350.0807249313</v>
      </c>
      <c r="E118" s="36">
        <f t="shared" si="34"/>
        <v>47744.97023832734</v>
      </c>
      <c r="F118" s="36">
        <f t="shared" si="12"/>
        <v>34103.550170233815</v>
      </c>
      <c r="G118" s="36">
        <f t="shared" si="10"/>
        <v>27282.840136187053</v>
      </c>
      <c r="H118" s="37">
        <f t="shared" si="35"/>
        <v>2744075.9397031264</v>
      </c>
      <c r="K118" s="69"/>
      <c r="N118" s="27">
        <f>N112*$N$108</f>
        <v>1072204736.0127449</v>
      </c>
      <c r="O118" s="27">
        <f t="shared" ref="O118:R118" si="47">O112*$N$108</f>
        <v>1232329967.0144129</v>
      </c>
      <c r="P118" s="27">
        <f t="shared" si="47"/>
        <v>1416368624.941134</v>
      </c>
      <c r="Q118" s="27">
        <f t="shared" si="47"/>
        <v>1627891989.4951942</v>
      </c>
      <c r="R118" s="27">
        <f t="shared" si="47"/>
        <v>1871004682.5364826</v>
      </c>
      <c r="T118" s="38"/>
    </row>
    <row r="119" spans="1:20">
      <c r="D119" s="64">
        <f t="shared" si="33"/>
        <v>1364080.8316667222</v>
      </c>
      <c r="E119" s="36">
        <f t="shared" si="34"/>
        <v>32014.219296536477</v>
      </c>
      <c r="F119" s="36">
        <f t="shared" si="12"/>
        <v>22867.299497526052</v>
      </c>
      <c r="G119" s="36">
        <f t="shared" si="10"/>
        <v>18293.839598020844</v>
      </c>
      <c r="H119" s="37">
        <f t="shared" si="35"/>
        <v>1379995.1080364042</v>
      </c>
      <c r="K119" s="69"/>
      <c r="O119" s="27">
        <f>O113*$O$108</f>
        <v>1608307104.0191176</v>
      </c>
      <c r="P119" s="27">
        <f t="shared" ref="P119:S119" si="48">P113*$O$108</f>
        <v>1848494950.5216196</v>
      </c>
      <c r="Q119" s="27">
        <f t="shared" si="48"/>
        <v>2124552937.4117014</v>
      </c>
      <c r="R119" s="27">
        <f t="shared" si="48"/>
        <v>2441837984.2427917</v>
      </c>
      <c r="S119" s="27">
        <f t="shared" si="48"/>
        <v>2806507023.8047242</v>
      </c>
      <c r="T119" s="38"/>
    </row>
    <row r="120" spans="1:20">
      <c r="D120" s="79">
        <f t="shared" si="33"/>
        <v>1379995.1080361672</v>
      </c>
      <c r="E120" s="80">
        <f t="shared" si="34"/>
        <v>16099.942927091384</v>
      </c>
      <c r="F120" s="80">
        <f>H119*($B$65/12)</f>
        <v>11499.959233636702</v>
      </c>
      <c r="G120" s="80">
        <f t="shared" si="10"/>
        <v>9199.9673869093622</v>
      </c>
      <c r="H120" s="81">
        <f t="shared" si="35"/>
        <v>2.3702159523963928E-7</v>
      </c>
      <c r="K120" s="69"/>
      <c r="P120" s="27">
        <f>P114*$P$108</f>
        <v>2263543331.5824618</v>
      </c>
      <c r="Q120" s="27">
        <f t="shared" ref="Q120:S120" si="49">Q114*$P$108</f>
        <v>2601585485.9193163</v>
      </c>
      <c r="R120" s="27">
        <f t="shared" si="49"/>
        <v>2990111541.5423946</v>
      </c>
      <c r="S120" s="27">
        <f t="shared" si="49"/>
        <v>3436660866.7120771</v>
      </c>
      <c r="T120" s="38">
        <f>T114*$P$108</f>
        <v>3949898774.2436857</v>
      </c>
    </row>
    <row r="121" spans="1:20">
      <c r="K121" s="69"/>
      <c r="T121" s="38"/>
    </row>
    <row r="122" spans="1:20">
      <c r="J122" s="31" t="s">
        <v>729</v>
      </c>
      <c r="K122" s="82">
        <f>SUM(K115:K120)*'costing variables'!$D$52</f>
        <v>216823624.39368844</v>
      </c>
      <c r="L122" s="83">
        <f>SUM(L115:L120)*'costing variables'!$D$52</f>
        <v>582779311.20021307</v>
      </c>
      <c r="M122" s="83">
        <f>SUM(M115:M120)*'costing variables'!$D$52</f>
        <v>1170174966.2540832</v>
      </c>
      <c r="N122" s="83">
        <f>SUM(N115:N120)*'costing variables'!$D$52</f>
        <v>2095474585.4508061</v>
      </c>
      <c r="O122" s="83">
        <f>SUM(O115:O120)*'costing variables'!$D$52</f>
        <v>3534231985.0074387</v>
      </c>
      <c r="P122" s="83">
        <f>SUM(P115:P120)*'costing variables'!$D$52</f>
        <v>5211658109.0407572</v>
      </c>
      <c r="Q122" s="83">
        <f>SUM(Q115:Q120)*'costing variables'!$D$52</f>
        <v>5320956807.4953728</v>
      </c>
      <c r="R122" s="83">
        <f>SUM(R115:R120)*'costing variables'!$D$52</f>
        <v>5112067945.8251677</v>
      </c>
      <c r="S122" s="83">
        <f>SUM(S115:S120)*'costing variables'!$D$52</f>
        <v>4370217523.3617611</v>
      </c>
      <c r="T122" s="84">
        <f>SUM(T115:T120)*'costing variables'!$D$52</f>
        <v>2764929141.9705796</v>
      </c>
    </row>
    <row r="123" spans="1:20">
      <c r="K123" s="69"/>
      <c r="T123" s="38"/>
    </row>
    <row r="124" spans="1:20">
      <c r="J124" s="31"/>
      <c r="K124" s="85">
        <f>K106-K122</f>
        <v>1311976375.6063116</v>
      </c>
      <c r="L124" s="86">
        <f t="shared" ref="L124:S124" si="50">L106-L122</f>
        <v>1769220688.799787</v>
      </c>
      <c r="M124" s="86">
        <f t="shared" si="50"/>
        <v>2357825033.7459168</v>
      </c>
      <c r="N124" s="86">
        <f t="shared" si="50"/>
        <v>3196525414.5491929</v>
      </c>
      <c r="O124" s="86">
        <f t="shared" si="50"/>
        <v>4403768014.9925604</v>
      </c>
      <c r="P124" s="86">
        <f t="shared" si="50"/>
        <v>5960341890.9592428</v>
      </c>
      <c r="Q124" s="86">
        <f t="shared" si="50"/>
        <v>-5320956807.4953728</v>
      </c>
      <c r="R124" s="86">
        <f t="shared" si="50"/>
        <v>-5112067945.8251677</v>
      </c>
      <c r="S124" s="86">
        <f t="shared" si="50"/>
        <v>-4370217523.3617611</v>
      </c>
      <c r="T124" s="87">
        <f>T106-T122</f>
        <v>-2764929141.9705796</v>
      </c>
    </row>
    <row r="127" spans="1:20" ht="21">
      <c r="A127" s="90" t="s">
        <v>737</v>
      </c>
    </row>
    <row r="130" spans="1:21" ht="15.6">
      <c r="A130" s="54" t="s">
        <v>715</v>
      </c>
      <c r="B130" s="100">
        <f>H131*B131*(B134^'costing variables'!$D$46)/(B134^'costing variables'!$D$46-1)</f>
        <v>1093059.059801874</v>
      </c>
      <c r="D130" s="106" t="s">
        <v>716</v>
      </c>
      <c r="E130" s="107" t="s">
        <v>717</v>
      </c>
      <c r="F130" s="107" t="s">
        <v>731</v>
      </c>
      <c r="G130" s="107" t="s">
        <v>732</v>
      </c>
      <c r="H130" s="108" t="s">
        <v>719</v>
      </c>
    </row>
    <row r="131" spans="1:21">
      <c r="A131" s="56" t="s">
        <v>720</v>
      </c>
      <c r="B131" s="57">
        <f>'costing variables'!$D$49/12</f>
        <v>1.1666666666666667E-2</v>
      </c>
      <c r="D131" s="59">
        <f>SUM(D132:D179)</f>
        <v>39999999.999999836</v>
      </c>
      <c r="E131" s="60">
        <f>SUM(E132:E179)</f>
        <v>12466834.870490108</v>
      </c>
      <c r="F131" s="60">
        <f>SUM(F132:F179)</f>
        <v>8904882.0503500719</v>
      </c>
      <c r="G131" s="60">
        <f>SUM(G132:G179)</f>
        <v>7123905.6402800605</v>
      </c>
      <c r="H131" s="61">
        <f>B132-B133</f>
        <v>40000000</v>
      </c>
      <c r="K131" s="31" t="s">
        <v>733</v>
      </c>
    </row>
    <row r="132" spans="1:21">
      <c r="A132" s="56" t="s">
        <v>738</v>
      </c>
      <c r="B132" s="105">
        <f>'costing variables'!$D$43</f>
        <v>50000000</v>
      </c>
      <c r="D132" s="64">
        <f>$B$130-E132</f>
        <v>626392.39313520724</v>
      </c>
      <c r="E132" s="36">
        <f>H131*($B$131)</f>
        <v>466666.66666666669</v>
      </c>
      <c r="F132" s="36">
        <f>H131*($B$135/12)</f>
        <v>333333.33333333331</v>
      </c>
      <c r="G132" s="36">
        <f>H131*($B$136/12)</f>
        <v>266666.66666666669</v>
      </c>
      <c r="H132" s="37">
        <f>H131-D132</f>
        <v>39373607.606864795</v>
      </c>
      <c r="J132" s="27" t="s">
        <v>724</v>
      </c>
      <c r="K132" s="101">
        <v>2025</v>
      </c>
      <c r="L132" s="33">
        <v>2026</v>
      </c>
      <c r="M132" s="33">
        <v>2027</v>
      </c>
      <c r="N132" s="33">
        <v>2028</v>
      </c>
      <c r="O132" s="33">
        <v>2029</v>
      </c>
      <c r="P132" s="33">
        <v>2030</v>
      </c>
      <c r="Q132" s="33">
        <v>2031</v>
      </c>
      <c r="R132" s="33">
        <v>2032</v>
      </c>
      <c r="S132" s="33">
        <v>2033</v>
      </c>
      <c r="T132" s="33">
        <v>2034</v>
      </c>
      <c r="U132" s="55"/>
    </row>
    <row r="133" spans="1:21">
      <c r="A133" s="88" t="s">
        <v>739</v>
      </c>
      <c r="B133" s="47">
        <f>B132*'costing variables'!$D$44</f>
        <v>10000000</v>
      </c>
      <c r="D133" s="64">
        <f t="shared" ref="D133:D179" si="51">$B$130-E133</f>
        <v>633700.30438845139</v>
      </c>
      <c r="E133" s="36">
        <f t="shared" ref="E133:E179" si="52">H132*($B$131)</f>
        <v>459358.75541342265</v>
      </c>
      <c r="F133" s="36">
        <f t="shared" ref="F133:F179" si="53">H132*($B$135/12)</f>
        <v>328113.39672387327</v>
      </c>
      <c r="G133" s="36">
        <f t="shared" ref="G133:G179" si="54">H132*($B$136/12)</f>
        <v>262490.71737909864</v>
      </c>
      <c r="H133" s="37">
        <f t="shared" ref="H133:H179" si="55">H132-D133</f>
        <v>38739907.302476346</v>
      </c>
      <c r="K133" s="68">
        <f>'costing variables'!G44+'costing variables'!H44</f>
        <v>41.6</v>
      </c>
      <c r="L133" s="36">
        <f>'costing variables'!I44</f>
        <v>64</v>
      </c>
      <c r="M133" s="36">
        <f>'costing variables'!J44</f>
        <v>96</v>
      </c>
      <c r="N133" s="36">
        <f>'costing variables'!K44</f>
        <v>144</v>
      </c>
      <c r="O133" s="36">
        <f>'costing variables'!L44</f>
        <v>216</v>
      </c>
      <c r="P133" s="36">
        <f>'costing variables'!M44</f>
        <v>304</v>
      </c>
      <c r="U133" s="38"/>
    </row>
    <row r="134" spans="1:21">
      <c r="A134" s="56" t="s">
        <v>722</v>
      </c>
      <c r="B134" s="57">
        <f>1+B131</f>
        <v>1.0116666666666667</v>
      </c>
      <c r="D134" s="64">
        <f t="shared" si="51"/>
        <v>641093.47460631654</v>
      </c>
      <c r="E134" s="36">
        <f t="shared" si="52"/>
        <v>451965.58519555739</v>
      </c>
      <c r="F134" s="36">
        <f t="shared" si="53"/>
        <v>322832.56085396954</v>
      </c>
      <c r="G134" s="36">
        <f t="shared" si="54"/>
        <v>258266.04868317567</v>
      </c>
      <c r="H134" s="37">
        <f>H133-D134</f>
        <v>38098813.827870026</v>
      </c>
      <c r="K134" s="68">
        <f>SUM(F132:F143)</f>
        <v>3641727.998052442</v>
      </c>
      <c r="L134" s="36">
        <f>SUM(F144:F155)</f>
        <v>2786393.9782385756</v>
      </c>
      <c r="M134" s="36">
        <f>SUM(F156:F167)</f>
        <v>1803322.6402557918</v>
      </c>
      <c r="N134" s="36">
        <f>SUM(F168:F179)</f>
        <v>673437.43380326428</v>
      </c>
      <c r="O134" s="36">
        <f>SUM(F181:F193)</f>
        <v>2061</v>
      </c>
      <c r="U134" s="38"/>
    </row>
    <row r="135" spans="1:21">
      <c r="A135" s="56" t="s">
        <v>731</v>
      </c>
      <c r="B135" s="38">
        <f>'costing variables'!$D$47/100</f>
        <v>0.1</v>
      </c>
      <c r="D135" s="64">
        <f t="shared" si="51"/>
        <v>648572.89847672358</v>
      </c>
      <c r="E135" s="36">
        <f t="shared" si="52"/>
        <v>444486.16132515034</v>
      </c>
      <c r="F135" s="36">
        <f t="shared" si="53"/>
        <v>317490.11523225019</v>
      </c>
      <c r="G135" s="36">
        <f t="shared" si="54"/>
        <v>253992.0921858002</v>
      </c>
      <c r="H135" s="37">
        <f t="shared" si="55"/>
        <v>37450240.929393306</v>
      </c>
      <c r="K135" s="69"/>
      <c r="L135" s="36">
        <f>K134</f>
        <v>3641727.998052442</v>
      </c>
      <c r="M135" s="36">
        <f t="shared" ref="M135" si="56">L134</f>
        <v>2786393.9782385756</v>
      </c>
      <c r="N135" s="36">
        <f t="shared" ref="N135:N136" si="57">M134</f>
        <v>1803322.6402557918</v>
      </c>
      <c r="O135" s="36">
        <f t="shared" ref="O135:O137" si="58">N134</f>
        <v>673437.43380326428</v>
      </c>
      <c r="P135" s="36">
        <f t="shared" ref="P135:P138" si="59">O134</f>
        <v>2061</v>
      </c>
      <c r="U135" s="38"/>
    </row>
    <row r="136" spans="1:21">
      <c r="A136" s="65" t="s">
        <v>734</v>
      </c>
      <c r="B136" s="40">
        <f>'costing variables'!$D$48/100</f>
        <v>0.08</v>
      </c>
      <c r="D136" s="64">
        <f t="shared" si="51"/>
        <v>656139.5822922854</v>
      </c>
      <c r="E136" s="36">
        <f t="shared" si="52"/>
        <v>436919.47750958859</v>
      </c>
      <c r="F136" s="36">
        <f t="shared" si="53"/>
        <v>312085.34107827756</v>
      </c>
      <c r="G136" s="36">
        <f t="shared" si="54"/>
        <v>249668.27286262205</v>
      </c>
      <c r="H136" s="37">
        <f>H135-D136</f>
        <v>36794101.347101018</v>
      </c>
      <c r="K136" s="69"/>
      <c r="M136" s="36">
        <f>L135</f>
        <v>3641727.998052442</v>
      </c>
      <c r="N136" s="36">
        <f t="shared" si="57"/>
        <v>2786393.9782385756</v>
      </c>
      <c r="O136" s="36">
        <f t="shared" si="58"/>
        <v>1803322.6402557918</v>
      </c>
      <c r="P136" s="36">
        <f t="shared" si="59"/>
        <v>673437.43380326428</v>
      </c>
      <c r="Q136" s="36">
        <f t="shared" ref="Q136:Q139" si="60">P135</f>
        <v>2061</v>
      </c>
      <c r="U136" s="38"/>
    </row>
    <row r="137" spans="1:21">
      <c r="D137" s="64">
        <f t="shared" si="51"/>
        <v>663794.54408569541</v>
      </c>
      <c r="E137" s="36">
        <f t="shared" si="52"/>
        <v>429264.51571617858</v>
      </c>
      <c r="F137" s="36">
        <f t="shared" si="53"/>
        <v>306617.51122584182</v>
      </c>
      <c r="G137" s="36">
        <f t="shared" si="54"/>
        <v>245294.00898067348</v>
      </c>
      <c r="H137" s="37">
        <f t="shared" si="55"/>
        <v>36130306.803015321</v>
      </c>
      <c r="K137" s="69"/>
      <c r="N137" s="36">
        <f>M136</f>
        <v>3641727.998052442</v>
      </c>
      <c r="O137" s="36">
        <f t="shared" si="58"/>
        <v>2786393.9782385756</v>
      </c>
      <c r="P137" s="36">
        <f t="shared" si="59"/>
        <v>1803322.6402557918</v>
      </c>
      <c r="Q137" s="36">
        <f t="shared" si="60"/>
        <v>673437.43380326428</v>
      </c>
      <c r="R137" s="36">
        <f t="shared" ref="R137:R139" si="61">Q136</f>
        <v>2061</v>
      </c>
      <c r="U137" s="38"/>
    </row>
    <row r="138" spans="1:21">
      <c r="D138" s="64">
        <f t="shared" si="51"/>
        <v>671538.81376669521</v>
      </c>
      <c r="E138" s="36">
        <f t="shared" si="52"/>
        <v>421520.24603517877</v>
      </c>
      <c r="F138" s="36">
        <f t="shared" si="53"/>
        <v>301085.89002512768</v>
      </c>
      <c r="G138" s="36">
        <f t="shared" si="54"/>
        <v>240868.71202010216</v>
      </c>
      <c r="H138" s="37">
        <f t="shared" si="55"/>
        <v>35458767.989248626</v>
      </c>
      <c r="K138" s="69"/>
      <c r="O138" s="36">
        <f>N137</f>
        <v>3641727.998052442</v>
      </c>
      <c r="P138" s="36">
        <f t="shared" si="59"/>
        <v>2786393.9782385756</v>
      </c>
      <c r="Q138" s="36">
        <f t="shared" si="60"/>
        <v>1803322.6402557918</v>
      </c>
      <c r="R138" s="36">
        <f t="shared" si="61"/>
        <v>673437.43380326428</v>
      </c>
      <c r="S138" s="36">
        <f t="shared" ref="S138:S139" si="62">R137</f>
        <v>2061</v>
      </c>
      <c r="U138" s="38"/>
    </row>
    <row r="139" spans="1:21">
      <c r="D139" s="64">
        <f t="shared" si="51"/>
        <v>679373.43326064001</v>
      </c>
      <c r="E139" s="36">
        <f t="shared" si="52"/>
        <v>413685.62654123397</v>
      </c>
      <c r="F139" s="36">
        <f t="shared" si="53"/>
        <v>295489.73324373853</v>
      </c>
      <c r="G139" s="36">
        <f t="shared" si="54"/>
        <v>236391.78659499084</v>
      </c>
      <c r="H139" s="37">
        <f t="shared" si="55"/>
        <v>34779394.555987984</v>
      </c>
      <c r="K139" s="69"/>
      <c r="P139" s="36">
        <f>O138</f>
        <v>3641727.998052442</v>
      </c>
      <c r="Q139" s="36">
        <f t="shared" si="60"/>
        <v>2786393.9782385756</v>
      </c>
      <c r="R139" s="36">
        <f t="shared" si="61"/>
        <v>1803322.6402557918</v>
      </c>
      <c r="S139" s="36">
        <f t="shared" si="62"/>
        <v>673437.43380326428</v>
      </c>
      <c r="T139" s="36">
        <f t="shared" ref="T139" si="63">S138</f>
        <v>2061</v>
      </c>
      <c r="U139" s="38"/>
    </row>
    <row r="140" spans="1:21">
      <c r="D140" s="64">
        <f t="shared" si="51"/>
        <v>687299.45664868085</v>
      </c>
      <c r="E140" s="36">
        <f t="shared" si="52"/>
        <v>405759.60315319314</v>
      </c>
      <c r="F140" s="36">
        <f t="shared" si="53"/>
        <v>289828.28796656651</v>
      </c>
      <c r="G140" s="36">
        <f t="shared" si="54"/>
        <v>231862.63037325325</v>
      </c>
      <c r="H140" s="37">
        <f>H139-D140</f>
        <v>34092095.099339306</v>
      </c>
      <c r="K140" s="69"/>
      <c r="U140" s="38"/>
    </row>
    <row r="141" spans="1:21">
      <c r="D141" s="64">
        <f t="shared" si="51"/>
        <v>695317.95030958205</v>
      </c>
      <c r="E141" s="36">
        <f t="shared" si="52"/>
        <v>397741.10949229193</v>
      </c>
      <c r="F141" s="36">
        <f t="shared" si="53"/>
        <v>284100.79249449424</v>
      </c>
      <c r="G141" s="36">
        <f t="shared" si="54"/>
        <v>227280.63399559539</v>
      </c>
      <c r="H141" s="37">
        <f t="shared" si="55"/>
        <v>33396777.149029724</v>
      </c>
      <c r="K141" s="70">
        <f>$K$133*K134</f>
        <v>151495884.71898159</v>
      </c>
      <c r="L141" s="70">
        <f t="shared" ref="L141:O141" si="64">$K$133*L134</f>
        <v>115913989.49472475</v>
      </c>
      <c r="M141" s="70">
        <f t="shared" si="64"/>
        <v>75018221.83464095</v>
      </c>
      <c r="N141" s="70">
        <f>$K$133*N134</f>
        <v>28014997.246215794</v>
      </c>
      <c r="O141" s="70">
        <f t="shared" si="64"/>
        <v>85737.600000000006</v>
      </c>
      <c r="U141" s="38"/>
    </row>
    <row r="142" spans="1:21">
      <c r="D142" s="64">
        <f t="shared" si="51"/>
        <v>703429.99306319386</v>
      </c>
      <c r="E142" s="36">
        <f t="shared" si="52"/>
        <v>389629.06673868012</v>
      </c>
      <c r="F142" s="36">
        <f t="shared" si="53"/>
        <v>278306.47624191438</v>
      </c>
      <c r="G142" s="36">
        <f t="shared" si="54"/>
        <v>222645.18099353151</v>
      </c>
      <c r="H142" s="37">
        <f t="shared" si="55"/>
        <v>32693347.155966531</v>
      </c>
      <c r="K142" s="69"/>
      <c r="L142" s="27">
        <f>$L$133*L135</f>
        <v>233070591.87535629</v>
      </c>
      <c r="M142" s="27">
        <f t="shared" ref="M142:O142" si="65">$L$133*M135</f>
        <v>178329214.60726884</v>
      </c>
      <c r="N142" s="27">
        <f t="shared" si="65"/>
        <v>115412648.97637068</v>
      </c>
      <c r="O142" s="27">
        <f t="shared" si="65"/>
        <v>43099995.763408914</v>
      </c>
      <c r="P142" s="27">
        <f>$L$133*P135</f>
        <v>131904</v>
      </c>
      <c r="U142" s="38"/>
    </row>
    <row r="143" spans="1:21">
      <c r="D143" s="64">
        <f t="shared" si="51"/>
        <v>711636.67631559772</v>
      </c>
      <c r="E143" s="36">
        <f t="shared" si="52"/>
        <v>381422.3834862762</v>
      </c>
      <c r="F143" s="36">
        <f t="shared" si="53"/>
        <v>272444.55963305442</v>
      </c>
      <c r="G143" s="36">
        <f t="shared" si="54"/>
        <v>217955.64770644356</v>
      </c>
      <c r="H143" s="37">
        <f t="shared" si="55"/>
        <v>31981710.479650933</v>
      </c>
      <c r="K143" s="69"/>
      <c r="M143" s="27">
        <f>M136*$M$133</f>
        <v>349605887.81303442</v>
      </c>
      <c r="N143" s="27">
        <f t="shared" ref="N143:Q143" si="66">N136*$M$133</f>
        <v>267493821.91090328</v>
      </c>
      <c r="O143" s="27">
        <f t="shared" si="66"/>
        <v>173118973.46455601</v>
      </c>
      <c r="P143" s="27">
        <f>P136*$M$133</f>
        <v>64649993.645113371</v>
      </c>
      <c r="Q143" s="27">
        <f t="shared" si="66"/>
        <v>197856</v>
      </c>
      <c r="U143" s="38"/>
    </row>
    <row r="144" spans="1:21">
      <c r="D144" s="64">
        <f t="shared" si="51"/>
        <v>719939.10420594644</v>
      </c>
      <c r="E144" s="36">
        <f t="shared" si="52"/>
        <v>373119.95559592755</v>
      </c>
      <c r="F144" s="36">
        <f t="shared" si="53"/>
        <v>266514.25399709109</v>
      </c>
      <c r="G144" s="36">
        <f t="shared" si="54"/>
        <v>213211.40319767292</v>
      </c>
      <c r="H144" s="37">
        <f t="shared" si="55"/>
        <v>31261771.375444986</v>
      </c>
      <c r="K144" s="69"/>
      <c r="N144" s="27">
        <f>$N$133*N137</f>
        <v>524408831.71955162</v>
      </c>
      <c r="O144" s="27">
        <f t="shared" ref="O144:R144" si="67">$N$133*O137</f>
        <v>401240732.86635488</v>
      </c>
      <c r="P144" s="27">
        <f t="shared" si="67"/>
        <v>259678460.19683403</v>
      </c>
      <c r="Q144" s="27">
        <f t="shared" si="67"/>
        <v>96974990.467670053</v>
      </c>
      <c r="R144" s="27">
        <f t="shared" si="67"/>
        <v>296784</v>
      </c>
      <c r="U144" s="38"/>
    </row>
    <row r="145" spans="4:21">
      <c r="D145" s="64">
        <f t="shared" si="51"/>
        <v>728338.3937550158</v>
      </c>
      <c r="E145" s="36">
        <f t="shared" si="52"/>
        <v>364720.66604685818</v>
      </c>
      <c r="F145" s="36">
        <f t="shared" si="53"/>
        <v>260514.76146204156</v>
      </c>
      <c r="G145" s="36">
        <f t="shared" si="54"/>
        <v>208411.80916963326</v>
      </c>
      <c r="H145" s="37">
        <f t="shared" si="55"/>
        <v>30533432.981689971</v>
      </c>
      <c r="K145" s="69"/>
      <c r="O145" s="27">
        <f>$O$133*O138</f>
        <v>786613247.57932746</v>
      </c>
      <c r="P145" s="27">
        <f t="shared" ref="P145:S145" si="68">$O$133*P138</f>
        <v>601861099.29953229</v>
      </c>
      <c r="Q145" s="27">
        <f t="shared" si="68"/>
        <v>389517690.29525101</v>
      </c>
      <c r="R145" s="27">
        <f t="shared" si="68"/>
        <v>145462485.70150509</v>
      </c>
      <c r="S145" s="27">
        <f t="shared" si="68"/>
        <v>445176</v>
      </c>
      <c r="U145" s="38"/>
    </row>
    <row r="146" spans="4:21">
      <c r="D146" s="64">
        <f t="shared" si="51"/>
        <v>736835.67501549097</v>
      </c>
      <c r="E146" s="36">
        <f t="shared" si="52"/>
        <v>356223.38478638302</v>
      </c>
      <c r="F146" s="36">
        <f t="shared" si="53"/>
        <v>254445.27484741641</v>
      </c>
      <c r="G146" s="36">
        <f t="shared" si="54"/>
        <v>203556.21987793315</v>
      </c>
      <c r="H146" s="37">
        <f t="shared" si="55"/>
        <v>29796597.30667448</v>
      </c>
      <c r="K146" s="69"/>
      <c r="P146" s="27">
        <f>P139*$P$133</f>
        <v>1107085311.4079423</v>
      </c>
      <c r="Q146" s="27">
        <f t="shared" ref="Q146:T146" si="69">Q139*$P$133</f>
        <v>847063769.38452697</v>
      </c>
      <c r="R146" s="27">
        <f t="shared" si="69"/>
        <v>548210082.63776076</v>
      </c>
      <c r="S146" s="27">
        <f>S139*$P$133</f>
        <v>204724979.87619233</v>
      </c>
      <c r="T146" s="27">
        <f t="shared" si="69"/>
        <v>626544</v>
      </c>
      <c r="U146" s="38"/>
    </row>
    <row r="147" spans="4:21">
      <c r="D147" s="64">
        <f t="shared" si="51"/>
        <v>745432.09122400498</v>
      </c>
      <c r="E147" s="36">
        <f t="shared" si="52"/>
        <v>347626.96857786895</v>
      </c>
      <c r="F147" s="36">
        <f t="shared" si="53"/>
        <v>248304.97755562066</v>
      </c>
      <c r="G147" s="36">
        <f>H146*($B$136/12)</f>
        <v>198643.98204449654</v>
      </c>
      <c r="H147" s="37">
        <f t="shared" si="55"/>
        <v>29051165.215450477</v>
      </c>
      <c r="K147" s="69"/>
      <c r="U147" s="38"/>
    </row>
    <row r="148" spans="4:21">
      <c r="D148" s="64">
        <f t="shared" si="51"/>
        <v>754128.79895495181</v>
      </c>
      <c r="E148" s="36">
        <f t="shared" si="52"/>
        <v>338930.26084692223</v>
      </c>
      <c r="F148" s="36">
        <f t="shared" si="53"/>
        <v>242093.04346208731</v>
      </c>
      <c r="G148" s="36">
        <f t="shared" si="54"/>
        <v>193674.43476966987</v>
      </c>
      <c r="H148" s="37">
        <f t="shared" si="55"/>
        <v>28297036.416495524</v>
      </c>
      <c r="J148" s="27" t="s">
        <v>725</v>
      </c>
      <c r="K148" s="71">
        <f>SUM(K141:K146)</f>
        <v>151495884.71898159</v>
      </c>
      <c r="L148" s="72">
        <f>SUM(L141:L146)</f>
        <v>348984581.37008107</v>
      </c>
      <c r="M148" s="72">
        <f t="shared" ref="M148:P148" si="70">SUM(M141:M146)</f>
        <v>602953324.25494421</v>
      </c>
      <c r="N148" s="72">
        <f t="shared" si="70"/>
        <v>935330299.85304141</v>
      </c>
      <c r="O148" s="72">
        <f>SUM(O141:O146)</f>
        <v>1404158687.2736473</v>
      </c>
      <c r="P148" s="72">
        <f t="shared" si="70"/>
        <v>2033406768.549422</v>
      </c>
      <c r="Q148" s="72">
        <f>SUM(Q141:Q146)</f>
        <v>1333754306.1474481</v>
      </c>
      <c r="R148" s="72">
        <f>SUM(R141:R146)</f>
        <v>693969352.33926582</v>
      </c>
      <c r="S148" s="72">
        <f>SUM(S141:S146)</f>
        <v>205170155.87619233</v>
      </c>
      <c r="T148" s="72">
        <f>SUM(T141:T146)</f>
        <v>626544</v>
      </c>
      <c r="U148" s="40"/>
    </row>
    <row r="149" spans="4:21">
      <c r="D149" s="64">
        <f t="shared" si="51"/>
        <v>762926.96827609278</v>
      </c>
      <c r="E149" s="36">
        <f t="shared" si="52"/>
        <v>330132.09152578114</v>
      </c>
      <c r="F149" s="36">
        <f t="shared" si="53"/>
        <v>235808.63680412938</v>
      </c>
      <c r="G149" s="36">
        <f t="shared" si="54"/>
        <v>188646.90944330351</v>
      </c>
      <c r="H149" s="37">
        <f t="shared" si="55"/>
        <v>27534109.448219433</v>
      </c>
    </row>
    <row r="150" spans="4:21">
      <c r="D150" s="64">
        <f t="shared" si="51"/>
        <v>771827.7829059806</v>
      </c>
      <c r="E150" s="36">
        <f t="shared" si="52"/>
        <v>321231.27689589339</v>
      </c>
      <c r="F150" s="36">
        <f t="shared" si="53"/>
        <v>229450.91206849526</v>
      </c>
      <c r="G150" s="36">
        <f t="shared" si="54"/>
        <v>183560.72965479625</v>
      </c>
      <c r="H150" s="37">
        <f t="shared" si="55"/>
        <v>26762281.665313452</v>
      </c>
    </row>
    <row r="151" spans="4:21">
      <c r="D151" s="64">
        <f t="shared" si="51"/>
        <v>780832.44037321699</v>
      </c>
      <c r="E151" s="36">
        <f t="shared" si="52"/>
        <v>312226.61942865694</v>
      </c>
      <c r="F151" s="36">
        <f t="shared" si="53"/>
        <v>223019.0138776121</v>
      </c>
      <c r="G151" s="36">
        <f t="shared" si="54"/>
        <v>178415.2111020897</v>
      </c>
      <c r="H151" s="37">
        <f t="shared" si="55"/>
        <v>25981449.224940237</v>
      </c>
    </row>
    <row r="152" spans="4:21">
      <c r="D152" s="64">
        <f t="shared" si="51"/>
        <v>789942.1521775712</v>
      </c>
      <c r="E152" s="36">
        <f t="shared" si="52"/>
        <v>303116.90762430278</v>
      </c>
      <c r="F152" s="36">
        <f t="shared" si="53"/>
        <v>216512.07687450197</v>
      </c>
      <c r="G152" s="36">
        <f t="shared" si="54"/>
        <v>173209.66149960159</v>
      </c>
      <c r="H152" s="37">
        <f t="shared" si="55"/>
        <v>25191507.072762664</v>
      </c>
      <c r="K152" s="31" t="s">
        <v>735</v>
      </c>
    </row>
    <row r="153" spans="4:21">
      <c r="D153" s="64">
        <f t="shared" si="51"/>
        <v>799158.14395297621</v>
      </c>
      <c r="E153" s="36">
        <f t="shared" si="52"/>
        <v>293900.91584889777</v>
      </c>
      <c r="F153" s="36">
        <f t="shared" si="53"/>
        <v>209929.22560635553</v>
      </c>
      <c r="G153" s="36">
        <f t="shared" si="54"/>
        <v>167943.38048508443</v>
      </c>
      <c r="H153" s="37">
        <f t="shared" si="55"/>
        <v>24392348.928809687</v>
      </c>
      <c r="J153" s="27" t="s">
        <v>724</v>
      </c>
      <c r="K153" s="101">
        <v>2025</v>
      </c>
      <c r="L153" s="33">
        <v>2026</v>
      </c>
      <c r="M153" s="33">
        <v>2027</v>
      </c>
      <c r="N153" s="33">
        <v>2028</v>
      </c>
      <c r="O153" s="33">
        <v>2029</v>
      </c>
      <c r="P153" s="33">
        <v>2030</v>
      </c>
      <c r="Q153" s="33">
        <v>2031</v>
      </c>
      <c r="R153" s="33">
        <v>2032</v>
      </c>
      <c r="S153" s="33">
        <v>2033</v>
      </c>
      <c r="T153" s="33">
        <v>2034</v>
      </c>
      <c r="U153" s="55"/>
    </row>
    <row r="154" spans="4:21">
      <c r="D154" s="64">
        <f t="shared" si="51"/>
        <v>808481.65563242766</v>
      </c>
      <c r="E154" s="36">
        <f t="shared" si="52"/>
        <v>284577.40416944638</v>
      </c>
      <c r="F154" s="36">
        <f t="shared" si="53"/>
        <v>203269.57440674739</v>
      </c>
      <c r="G154" s="36">
        <f t="shared" si="54"/>
        <v>162615.65952539793</v>
      </c>
      <c r="H154" s="37">
        <f t="shared" si="55"/>
        <v>23583867.273177259</v>
      </c>
      <c r="K154" s="68">
        <f>'costing variables'!G45+'costing variables'!H45</f>
        <v>10.399999999999999</v>
      </c>
      <c r="L154" s="36">
        <f>'costing variables'!I45</f>
        <v>15.999999999999998</v>
      </c>
      <c r="M154" s="36">
        <f>'costing variables'!J45</f>
        <v>23.999999999999996</v>
      </c>
      <c r="N154" s="36">
        <f>'costing variables'!K45</f>
        <v>35.999999999999993</v>
      </c>
      <c r="O154" s="36">
        <f>'costing variables'!L45</f>
        <v>53.999999999999993</v>
      </c>
      <c r="P154" s="36">
        <f>'costing variables'!M45</f>
        <v>75.999999999999986</v>
      </c>
      <c r="U154" s="38"/>
    </row>
    <row r="155" spans="4:21">
      <c r="D155" s="64">
        <f t="shared" si="51"/>
        <v>817913.94161480595</v>
      </c>
      <c r="E155" s="36">
        <f t="shared" si="52"/>
        <v>275145.11818706803</v>
      </c>
      <c r="F155" s="36">
        <f t="shared" si="53"/>
        <v>196532.22727647715</v>
      </c>
      <c r="G155" s="36">
        <f t="shared" si="54"/>
        <v>157225.78182118174</v>
      </c>
      <c r="H155" s="37">
        <f t="shared" si="55"/>
        <v>22765953.331562452</v>
      </c>
      <c r="K155" s="68">
        <f>SUM(G132:G143)</f>
        <v>2913382.3984419531</v>
      </c>
      <c r="L155" s="36">
        <f>SUM(G144:G155)</f>
        <v>2229115.1825908609</v>
      </c>
      <c r="M155" s="36">
        <f>SUM(G156:G167)</f>
        <v>1442658.1122046334</v>
      </c>
      <c r="N155" s="36">
        <f>SUM(G168:G179)</f>
        <v>538749.94704261154</v>
      </c>
      <c r="O155" s="36">
        <f>SUM(G180:G192)</f>
        <v>2068</v>
      </c>
      <c r="P155" s="36"/>
      <c r="U155" s="38"/>
    </row>
    <row r="156" spans="4:21">
      <c r="D156" s="64">
        <f t="shared" si="51"/>
        <v>827456.27093364531</v>
      </c>
      <c r="E156" s="36">
        <f t="shared" si="52"/>
        <v>265602.78886822861</v>
      </c>
      <c r="F156" s="36">
        <f t="shared" si="53"/>
        <v>189716.27776302042</v>
      </c>
      <c r="G156" s="36">
        <f t="shared" si="54"/>
        <v>151773.02221041635</v>
      </c>
      <c r="H156" s="37">
        <f t="shared" si="55"/>
        <v>21938497.060628805</v>
      </c>
      <c r="K156" s="69"/>
      <c r="L156" s="36">
        <f>K155</f>
        <v>2913382.3984419531</v>
      </c>
      <c r="M156" s="36">
        <f t="shared" ref="M156" si="71">L155</f>
        <v>2229115.1825908609</v>
      </c>
      <c r="N156" s="36">
        <f t="shared" ref="N156:N157" si="72">M155</f>
        <v>1442658.1122046334</v>
      </c>
      <c r="O156" s="36">
        <f t="shared" ref="O156:O158" si="73">N155</f>
        <v>538749.94704261154</v>
      </c>
      <c r="P156" s="36">
        <f t="shared" ref="P156:P159" si="74">O155</f>
        <v>2068</v>
      </c>
      <c r="U156" s="38"/>
    </row>
    <row r="157" spans="4:21">
      <c r="D157" s="64">
        <f t="shared" si="51"/>
        <v>837109.92742787127</v>
      </c>
      <c r="E157" s="36">
        <f t="shared" si="52"/>
        <v>255949.13237400274</v>
      </c>
      <c r="F157" s="36">
        <f t="shared" si="53"/>
        <v>182820.80883857337</v>
      </c>
      <c r="G157" s="36">
        <f t="shared" si="54"/>
        <v>146256.64707085871</v>
      </c>
      <c r="H157" s="37">
        <f t="shared" si="55"/>
        <v>21101387.133200932</v>
      </c>
      <c r="K157" s="69"/>
      <c r="M157" s="36">
        <f>L156</f>
        <v>2913382.3984419531</v>
      </c>
      <c r="N157" s="36">
        <f t="shared" si="72"/>
        <v>2229115.1825908609</v>
      </c>
      <c r="O157" s="36">
        <f t="shared" si="73"/>
        <v>1442658.1122046334</v>
      </c>
      <c r="P157" s="36">
        <f t="shared" si="74"/>
        <v>538749.94704261154</v>
      </c>
      <c r="Q157" s="36">
        <f t="shared" ref="Q157:Q160" si="75">P156</f>
        <v>2068</v>
      </c>
      <c r="U157" s="38"/>
    </row>
    <row r="158" spans="4:21">
      <c r="D158" s="64">
        <f t="shared" si="51"/>
        <v>846876.2099145297</v>
      </c>
      <c r="E158" s="36">
        <f t="shared" si="52"/>
        <v>246182.84988734423</v>
      </c>
      <c r="F158" s="36">
        <f t="shared" si="53"/>
        <v>175844.89277667445</v>
      </c>
      <c r="G158" s="36">
        <f t="shared" si="54"/>
        <v>140675.91422133957</v>
      </c>
      <c r="H158" s="37">
        <f t="shared" si="55"/>
        <v>20254510.923286401</v>
      </c>
      <c r="K158" s="69"/>
      <c r="N158" s="36">
        <f>M157</f>
        <v>2913382.3984419531</v>
      </c>
      <c r="O158" s="36">
        <f t="shared" si="73"/>
        <v>2229115.1825908609</v>
      </c>
      <c r="P158" s="36">
        <f t="shared" si="74"/>
        <v>1442658.1122046334</v>
      </c>
      <c r="Q158" s="36">
        <f t="shared" si="75"/>
        <v>538749.94704261154</v>
      </c>
      <c r="R158" s="36">
        <f t="shared" ref="R158:R160" si="76">Q157</f>
        <v>2068</v>
      </c>
      <c r="U158" s="38"/>
    </row>
    <row r="159" spans="4:21">
      <c r="D159" s="64">
        <f t="shared" si="51"/>
        <v>856756.4323635326</v>
      </c>
      <c r="E159" s="36">
        <f t="shared" si="52"/>
        <v>236302.62743834135</v>
      </c>
      <c r="F159" s="36">
        <f t="shared" si="53"/>
        <v>168787.59102738666</v>
      </c>
      <c r="G159" s="36">
        <f t="shared" si="54"/>
        <v>135030.07282190936</v>
      </c>
      <c r="H159" s="37">
        <f t="shared" si="55"/>
        <v>19397754.490922868</v>
      </c>
      <c r="K159" s="69"/>
      <c r="O159" s="36">
        <f>N158</f>
        <v>2913382.3984419531</v>
      </c>
      <c r="P159" s="36">
        <f t="shared" si="74"/>
        <v>2229115.1825908609</v>
      </c>
      <c r="Q159" s="36">
        <f t="shared" si="75"/>
        <v>1442658.1122046334</v>
      </c>
      <c r="R159" s="36">
        <f t="shared" si="76"/>
        <v>538749.94704261154</v>
      </c>
      <c r="S159" s="36">
        <f t="shared" ref="S159:S160" si="77">R158</f>
        <v>2068</v>
      </c>
      <c r="U159" s="38"/>
    </row>
    <row r="160" spans="4:21">
      <c r="D160" s="64">
        <f t="shared" si="51"/>
        <v>866751.9240744405</v>
      </c>
      <c r="E160" s="36">
        <f t="shared" si="52"/>
        <v>226307.13572743349</v>
      </c>
      <c r="F160" s="36">
        <f t="shared" si="53"/>
        <v>161647.95409102389</v>
      </c>
      <c r="G160" s="36">
        <f t="shared" si="54"/>
        <v>129318.36327281913</v>
      </c>
      <c r="H160" s="37">
        <f t="shared" si="55"/>
        <v>18531002.566848427</v>
      </c>
      <c r="K160" s="69"/>
      <c r="P160" s="36">
        <f>O159</f>
        <v>2913382.3984419531</v>
      </c>
      <c r="Q160" s="36">
        <f t="shared" si="75"/>
        <v>2229115.1825908609</v>
      </c>
      <c r="R160" s="36">
        <f t="shared" si="76"/>
        <v>1442658.1122046334</v>
      </c>
      <c r="S160" s="36">
        <f t="shared" si="77"/>
        <v>538749.94704261154</v>
      </c>
      <c r="T160" s="36">
        <f t="shared" ref="T160" si="78">S159</f>
        <v>2068</v>
      </c>
      <c r="U160" s="38"/>
    </row>
    <row r="161" spans="4:21">
      <c r="D161" s="64">
        <f t="shared" si="51"/>
        <v>876864.02985530905</v>
      </c>
      <c r="E161" s="36">
        <f t="shared" si="52"/>
        <v>216195.02994656499</v>
      </c>
      <c r="F161" s="36">
        <f t="shared" si="53"/>
        <v>154425.02139040356</v>
      </c>
      <c r="G161" s="36">
        <f t="shared" si="54"/>
        <v>123540.01711232285</v>
      </c>
      <c r="H161" s="37">
        <f>H160-D161</f>
        <v>17654138.536993116</v>
      </c>
      <c r="K161" s="69"/>
      <c r="U161" s="38"/>
    </row>
    <row r="162" spans="4:21">
      <c r="D162" s="64">
        <f t="shared" si="51"/>
        <v>887094.11020362098</v>
      </c>
      <c r="E162" s="36">
        <f t="shared" si="52"/>
        <v>205964.94959825304</v>
      </c>
      <c r="F162" s="36">
        <f t="shared" si="53"/>
        <v>147117.82114160931</v>
      </c>
      <c r="G162" s="36">
        <f t="shared" si="54"/>
        <v>117694.25691328745</v>
      </c>
      <c r="H162" s="37">
        <f t="shared" si="55"/>
        <v>16767044.426789496</v>
      </c>
      <c r="K162" s="70">
        <f>$K$154*K155</f>
        <v>30299176.943796307</v>
      </c>
      <c r="L162" s="70">
        <f t="shared" ref="L162:O162" si="79">$K$154*L155</f>
        <v>23182797.898944952</v>
      </c>
      <c r="M162" s="70">
        <f t="shared" si="79"/>
        <v>15003644.366928186</v>
      </c>
      <c r="N162" s="70">
        <f>$K$154*N155</f>
        <v>5602999.449243159</v>
      </c>
      <c r="O162" s="70">
        <f t="shared" si="79"/>
        <v>21507.199999999997</v>
      </c>
      <c r="U162" s="38"/>
    </row>
    <row r="163" spans="4:21">
      <c r="D163" s="64">
        <f t="shared" si="51"/>
        <v>897443.54148932989</v>
      </c>
      <c r="E163" s="36">
        <f t="shared" si="52"/>
        <v>195615.51831254413</v>
      </c>
      <c r="F163" s="36">
        <f t="shared" si="53"/>
        <v>139725.37022324579</v>
      </c>
      <c r="G163" s="36">
        <f t="shared" si="54"/>
        <v>111780.29617859665</v>
      </c>
      <c r="H163" s="37">
        <f t="shared" si="55"/>
        <v>15869600.885300167</v>
      </c>
      <c r="K163" s="69"/>
      <c r="L163" s="27">
        <f>$L$154*L156</f>
        <v>46614118.375071242</v>
      </c>
      <c r="M163" s="27">
        <f t="shared" ref="M163:P163" si="80">$L$154*M156</f>
        <v>35665842.921453767</v>
      </c>
      <c r="N163" s="27">
        <f t="shared" si="80"/>
        <v>23082529.795274131</v>
      </c>
      <c r="O163" s="27">
        <f>$L$154*O156</f>
        <v>8619999.1526817828</v>
      </c>
      <c r="P163" s="27">
        <f t="shared" si="80"/>
        <v>33087.999999999993</v>
      </c>
      <c r="U163" s="38"/>
    </row>
    <row r="164" spans="4:21">
      <c r="D164" s="64">
        <f t="shared" si="51"/>
        <v>907913.71614003868</v>
      </c>
      <c r="E164" s="36">
        <f t="shared" si="52"/>
        <v>185145.3436618353</v>
      </c>
      <c r="F164" s="36">
        <f>H163*($B$135/12)</f>
        <v>132246.67404416806</v>
      </c>
      <c r="G164" s="36">
        <f t="shared" si="54"/>
        <v>105797.33923533445</v>
      </c>
      <c r="H164" s="37">
        <f>H163-D164</f>
        <v>14961687.169160128</v>
      </c>
      <c r="K164" s="69"/>
      <c r="M164" s="27">
        <f>M157*$M$154</f>
        <v>69921177.562606871</v>
      </c>
      <c r="N164" s="27">
        <f t="shared" ref="N164:Q164" si="81">N157*$M$154</f>
        <v>53498764.382180654</v>
      </c>
      <c r="O164" s="27">
        <f t="shared" si="81"/>
        <v>34623794.6929112</v>
      </c>
      <c r="P164" s="27">
        <f t="shared" si="81"/>
        <v>12929998.729022674</v>
      </c>
      <c r="Q164" s="27">
        <f t="shared" si="81"/>
        <v>49631.999999999993</v>
      </c>
      <c r="U164" s="38"/>
    </row>
    <row r="165" spans="4:21">
      <c r="D165" s="64">
        <f t="shared" si="51"/>
        <v>918506.04282833915</v>
      </c>
      <c r="E165" s="36">
        <f t="shared" si="52"/>
        <v>174553.01697353483</v>
      </c>
      <c r="F165" s="36">
        <f t="shared" si="53"/>
        <v>124680.72640966772</v>
      </c>
      <c r="G165" s="36">
        <f t="shared" si="54"/>
        <v>99744.581127734185</v>
      </c>
      <c r="H165" s="37">
        <f t="shared" si="55"/>
        <v>14043181.126331788</v>
      </c>
      <c r="K165" s="69"/>
      <c r="N165" s="27">
        <f>$N$154*N158</f>
        <v>104881766.34391029</v>
      </c>
      <c r="O165" s="27">
        <f t="shared" ref="O165:R165" si="82">$N$154*O158</f>
        <v>80248146.573270977</v>
      </c>
      <c r="P165" s="27">
        <f t="shared" si="82"/>
        <v>51935692.039366789</v>
      </c>
      <c r="Q165" s="27">
        <f t="shared" si="82"/>
        <v>19394998.093534011</v>
      </c>
      <c r="R165" s="27">
        <f t="shared" si="82"/>
        <v>74447.999999999985</v>
      </c>
      <c r="U165" s="38"/>
    </row>
    <row r="166" spans="4:21">
      <c r="D166" s="64">
        <f t="shared" si="51"/>
        <v>929221.94666133646</v>
      </c>
      <c r="E166" s="36">
        <f t="shared" si="52"/>
        <v>163837.11314053752</v>
      </c>
      <c r="F166" s="36">
        <f t="shared" si="53"/>
        <v>117026.50938609823</v>
      </c>
      <c r="G166" s="36">
        <f t="shared" si="54"/>
        <v>93621.207508878593</v>
      </c>
      <c r="H166" s="37">
        <f t="shared" si="55"/>
        <v>13113959.179670451</v>
      </c>
      <c r="K166" s="69"/>
      <c r="O166" s="27">
        <f>$O$154*O159</f>
        <v>157322649.51586545</v>
      </c>
      <c r="P166" s="27">
        <f t="shared" ref="P166:S166" si="83">$O$154*P159</f>
        <v>120372219.85990646</v>
      </c>
      <c r="Q166" s="27">
        <f t="shared" si="83"/>
        <v>77903538.059050187</v>
      </c>
      <c r="R166" s="27">
        <f t="shared" si="83"/>
        <v>29092497.140301019</v>
      </c>
      <c r="S166" s="27">
        <f t="shared" si="83"/>
        <v>111671.99999999999</v>
      </c>
      <c r="U166" s="38"/>
    </row>
    <row r="167" spans="4:21">
      <c r="D167" s="64">
        <f t="shared" si="51"/>
        <v>940062.86937238532</v>
      </c>
      <c r="E167" s="36">
        <f t="shared" si="52"/>
        <v>152996.1904294886</v>
      </c>
      <c r="F167" s="36">
        <f t="shared" si="53"/>
        <v>109282.99316392043</v>
      </c>
      <c r="G167" s="36">
        <f t="shared" si="54"/>
        <v>87426.39453113635</v>
      </c>
      <c r="H167" s="37">
        <f>H166-D167</f>
        <v>12173896.310298067</v>
      </c>
      <c r="K167" s="69"/>
      <c r="P167" s="27">
        <f>P160*$P$154</f>
        <v>221417062.28158841</v>
      </c>
      <c r="Q167" s="27">
        <f t="shared" ref="Q167:T167" si="84">Q160*$P$154</f>
        <v>169412753.87690538</v>
      </c>
      <c r="R167" s="27">
        <f t="shared" si="84"/>
        <v>109642016.52755211</v>
      </c>
      <c r="S167" s="27">
        <f t="shared" si="84"/>
        <v>40944995.975238472</v>
      </c>
      <c r="T167" s="27">
        <f t="shared" si="84"/>
        <v>157167.99999999997</v>
      </c>
      <c r="U167" s="38"/>
    </row>
    <row r="168" spans="4:21">
      <c r="D168" s="64">
        <f t="shared" si="51"/>
        <v>951030.26951506315</v>
      </c>
      <c r="E168" s="36">
        <f t="shared" si="52"/>
        <v>142028.79028681078</v>
      </c>
      <c r="F168" s="36">
        <f t="shared" si="53"/>
        <v>101449.13591915055</v>
      </c>
      <c r="G168" s="36">
        <f t="shared" si="54"/>
        <v>81159.308735320446</v>
      </c>
      <c r="H168" s="37">
        <f t="shared" si="55"/>
        <v>11222866.040783003</v>
      </c>
      <c r="K168" s="69"/>
      <c r="U168" s="38"/>
    </row>
    <row r="169" spans="4:21">
      <c r="D169" s="64">
        <f t="shared" si="51"/>
        <v>962125.62265940558</v>
      </c>
      <c r="E169" s="36">
        <f t="shared" si="52"/>
        <v>130933.43714246838</v>
      </c>
      <c r="F169" s="36">
        <f t="shared" si="53"/>
        <v>93523.883673191696</v>
      </c>
      <c r="G169" s="36">
        <f t="shared" si="54"/>
        <v>74819.106938553363</v>
      </c>
      <c r="H169" s="37">
        <f t="shared" si="55"/>
        <v>10260740.418123597</v>
      </c>
      <c r="J169" s="27" t="s">
        <v>725</v>
      </c>
      <c r="K169" s="71">
        <f>SUM(K162:K167)</f>
        <v>30299176.943796307</v>
      </c>
      <c r="L169" s="72">
        <f>SUM(L162:L167)</f>
        <v>69796916.274016201</v>
      </c>
      <c r="M169" s="72">
        <f t="shared" ref="M169:R169" si="85">SUM(M162:M167)</f>
        <v>120590664.85098882</v>
      </c>
      <c r="N169" s="72">
        <f t="shared" si="85"/>
        <v>187066059.97060823</v>
      </c>
      <c r="O169" s="72">
        <f t="shared" si="85"/>
        <v>280836097.13472939</v>
      </c>
      <c r="P169" s="72">
        <f t="shared" si="85"/>
        <v>406688060.90988433</v>
      </c>
      <c r="Q169" s="72">
        <f t="shared" si="85"/>
        <v>266760922.02948958</v>
      </c>
      <c r="R169" s="72">
        <f t="shared" si="85"/>
        <v>138808961.66785312</v>
      </c>
      <c r="S169" s="72">
        <f>SUM(S162:S167)</f>
        <v>41056667.975238472</v>
      </c>
      <c r="T169" s="72">
        <f>SUM(T162:T167)</f>
        <v>157167.99999999997</v>
      </c>
      <c r="U169" s="40"/>
    </row>
    <row r="170" spans="4:21">
      <c r="D170" s="64">
        <f t="shared" si="51"/>
        <v>973350.42159043206</v>
      </c>
      <c r="E170" s="36">
        <f t="shared" si="52"/>
        <v>119708.63821144197</v>
      </c>
      <c r="F170" s="36">
        <f t="shared" si="53"/>
        <v>85506.170151029975</v>
      </c>
      <c r="G170" s="36">
        <f t="shared" si="54"/>
        <v>68404.936120823986</v>
      </c>
      <c r="H170" s="37">
        <f t="shared" si="55"/>
        <v>9287389.9965331648</v>
      </c>
    </row>
    <row r="171" spans="4:21">
      <c r="D171" s="64">
        <f t="shared" si="51"/>
        <v>984706.17650898709</v>
      </c>
      <c r="E171" s="36">
        <f t="shared" si="52"/>
        <v>108352.88329288692</v>
      </c>
      <c r="F171" s="36">
        <f t="shared" si="53"/>
        <v>77394.916637776376</v>
      </c>
      <c r="G171" s="36">
        <f t="shared" si="54"/>
        <v>61915.933310221102</v>
      </c>
      <c r="H171" s="37">
        <f t="shared" si="55"/>
        <v>8302683.8200241774</v>
      </c>
    </row>
    <row r="172" spans="4:21">
      <c r="D172" s="64">
        <f t="shared" si="51"/>
        <v>996194.41523492523</v>
      </c>
      <c r="E172" s="36">
        <f t="shared" si="52"/>
        <v>96864.644566948744</v>
      </c>
      <c r="F172" s="36">
        <f t="shared" si="53"/>
        <v>69189.031833534813</v>
      </c>
      <c r="G172" s="36">
        <f t="shared" si="54"/>
        <v>55351.225466827855</v>
      </c>
      <c r="H172" s="37">
        <f t="shared" si="55"/>
        <v>7306489.4047892522</v>
      </c>
    </row>
    <row r="173" spans="4:21">
      <c r="D173" s="64">
        <f t="shared" si="51"/>
        <v>1007816.6834126661</v>
      </c>
      <c r="E173" s="36">
        <f t="shared" si="52"/>
        <v>85242.376389207944</v>
      </c>
      <c r="F173" s="36">
        <f t="shared" si="53"/>
        <v>60887.411706577099</v>
      </c>
      <c r="G173" s="36">
        <f t="shared" si="54"/>
        <v>48709.929365261683</v>
      </c>
      <c r="H173" s="37">
        <f t="shared" si="55"/>
        <v>6298672.7213765858</v>
      </c>
    </row>
    <row r="174" spans="4:21">
      <c r="D174" s="64">
        <f t="shared" si="51"/>
        <v>1019574.5447191471</v>
      </c>
      <c r="E174" s="36">
        <f t="shared" si="52"/>
        <v>73484.515082726837</v>
      </c>
      <c r="F174" s="36">
        <f t="shared" si="53"/>
        <v>52488.93934480488</v>
      </c>
      <c r="G174" s="36">
        <f t="shared" si="54"/>
        <v>41991.151475843908</v>
      </c>
      <c r="H174" s="37">
        <f t="shared" si="55"/>
        <v>5279098.1766574383</v>
      </c>
    </row>
    <row r="175" spans="4:21">
      <c r="D175" s="64">
        <f t="shared" si="51"/>
        <v>1031469.5810742038</v>
      </c>
      <c r="E175" s="36">
        <f t="shared" si="52"/>
        <v>61589.478727670117</v>
      </c>
      <c r="F175" s="36">
        <f t="shared" si="53"/>
        <v>43992.484805478649</v>
      </c>
      <c r="G175" s="36">
        <f t="shared" si="54"/>
        <v>35193.987844382922</v>
      </c>
      <c r="H175" s="37">
        <f t="shared" si="55"/>
        <v>4247628.595583234</v>
      </c>
    </row>
    <row r="176" spans="4:21">
      <c r="D176" s="64">
        <f t="shared" si="51"/>
        <v>1043503.3928534029</v>
      </c>
      <c r="E176" s="36">
        <f t="shared" si="52"/>
        <v>49555.666948471066</v>
      </c>
      <c r="F176" s="36">
        <f t="shared" si="53"/>
        <v>35396.904963193614</v>
      </c>
      <c r="G176" s="36">
        <f t="shared" si="54"/>
        <v>28317.523970554896</v>
      </c>
      <c r="H176" s="37">
        <f t="shared" si="55"/>
        <v>3204125.202729831</v>
      </c>
    </row>
    <row r="177" spans="1:16">
      <c r="D177" s="64">
        <f t="shared" si="51"/>
        <v>1055677.5991033593</v>
      </c>
      <c r="E177" s="36">
        <f t="shared" si="52"/>
        <v>37381.460698514697</v>
      </c>
      <c r="F177" s="36">
        <f t="shared" si="53"/>
        <v>26701.043356081926</v>
      </c>
      <c r="G177" s="36">
        <f t="shared" si="54"/>
        <v>21360.834684865542</v>
      </c>
      <c r="H177" s="37">
        <f t="shared" si="55"/>
        <v>2148447.6036264719</v>
      </c>
    </row>
    <row r="178" spans="1:16">
      <c r="D178" s="64">
        <f t="shared" si="51"/>
        <v>1067993.8377595651</v>
      </c>
      <c r="E178" s="36">
        <f t="shared" si="52"/>
        <v>25065.22204230884</v>
      </c>
      <c r="F178" s="36">
        <f t="shared" si="53"/>
        <v>17903.730030220599</v>
      </c>
      <c r="G178" s="36">
        <f t="shared" si="54"/>
        <v>14322.984024176481</v>
      </c>
      <c r="H178" s="37">
        <f t="shared" si="55"/>
        <v>1080453.7658669068</v>
      </c>
    </row>
    <row r="179" spans="1:16">
      <c r="D179" s="79">
        <f t="shared" si="51"/>
        <v>1080453.7658667602</v>
      </c>
      <c r="E179" s="80">
        <f t="shared" si="52"/>
        <v>12605.293935113914</v>
      </c>
      <c r="F179" s="80">
        <f t="shared" si="53"/>
        <v>9003.7813822242242</v>
      </c>
      <c r="G179" s="80">
        <f t="shared" si="54"/>
        <v>7203.0251057793794</v>
      </c>
      <c r="H179" s="81">
        <f t="shared" si="55"/>
        <v>1.4668330550193787E-7</v>
      </c>
    </row>
    <row r="182" spans="1:16" ht="21">
      <c r="A182" s="90" t="s">
        <v>740</v>
      </c>
    </row>
    <row r="183" spans="1:16">
      <c r="A183" s="32"/>
      <c r="B183" s="33" t="s">
        <v>741</v>
      </c>
      <c r="C183" s="32"/>
      <c r="D183" s="66"/>
      <c r="E183" s="66"/>
      <c r="F183" s="33" t="s">
        <v>742</v>
      </c>
      <c r="G183" s="66"/>
      <c r="H183" s="66"/>
      <c r="I183" s="66"/>
      <c r="J183" s="32"/>
      <c r="K183" s="66"/>
      <c r="L183" s="66"/>
      <c r="M183" s="33" t="s">
        <v>427</v>
      </c>
      <c r="N183" s="66"/>
      <c r="O183" s="66"/>
      <c r="P183" s="55"/>
    </row>
    <row r="184" spans="1:16">
      <c r="A184" s="69"/>
      <c r="C184" s="35">
        <v>2024</v>
      </c>
      <c r="D184" s="31">
        <v>2025</v>
      </c>
      <c r="E184" s="31">
        <v>2026</v>
      </c>
      <c r="F184" s="31">
        <v>2027</v>
      </c>
      <c r="G184" s="31">
        <v>2028</v>
      </c>
      <c r="H184" s="31">
        <v>2029</v>
      </c>
      <c r="I184" s="31">
        <v>2030</v>
      </c>
      <c r="J184" s="35">
        <v>2024</v>
      </c>
      <c r="K184" s="31">
        <v>2025</v>
      </c>
      <c r="L184" s="31">
        <v>2026</v>
      </c>
      <c r="M184" s="31">
        <v>2027</v>
      </c>
      <c r="N184" s="31">
        <v>2028</v>
      </c>
      <c r="O184" s="31">
        <v>2029</v>
      </c>
      <c r="P184" s="67">
        <v>2030</v>
      </c>
    </row>
    <row r="185" spans="1:16" s="31" customFormat="1">
      <c r="A185" s="35" t="s">
        <v>616</v>
      </c>
      <c r="C185" s="82"/>
      <c r="D185" s="83">
        <f>D186+D187+D199+D203+D207+D211+D215+D219</f>
        <v>15</v>
      </c>
      <c r="E185" s="83">
        <f t="shared" ref="E185:I185" si="86">E186+E187+E199+E203+E207+E211+E215+E219</f>
        <v>16</v>
      </c>
      <c r="F185" s="83">
        <f t="shared" si="86"/>
        <v>22</v>
      </c>
      <c r="G185" s="83">
        <f t="shared" si="86"/>
        <v>25</v>
      </c>
      <c r="H185" s="83">
        <f t="shared" si="86"/>
        <v>25</v>
      </c>
      <c r="I185" s="83">
        <f t="shared" si="86"/>
        <v>25</v>
      </c>
      <c r="J185" s="82"/>
      <c r="K185" s="83">
        <f t="shared" ref="K185:P185" si="87">K186+K187+K199+K203+K207+K211+K215+K219</f>
        <v>83388000</v>
      </c>
      <c r="L185" s="83">
        <f t="shared" si="87"/>
        <v>101587200</v>
      </c>
      <c r="M185" s="83">
        <f t="shared" si="87"/>
        <v>142641408.00000003</v>
      </c>
      <c r="N185" s="83">
        <f t="shared" si="87"/>
        <v>171226798.07999998</v>
      </c>
      <c r="O185" s="83">
        <f t="shared" si="87"/>
        <v>178075870.00320005</v>
      </c>
      <c r="P185" s="84">
        <f t="shared" si="87"/>
        <v>184093975.00108802</v>
      </c>
    </row>
    <row r="186" spans="1:16" s="31" customFormat="1">
      <c r="A186" s="35" t="s">
        <v>743</v>
      </c>
      <c r="B186" s="77">
        <v>2100000</v>
      </c>
      <c r="C186" s="123"/>
      <c r="D186" s="124">
        <v>1</v>
      </c>
      <c r="E186" s="124">
        <v>1</v>
      </c>
      <c r="F186" s="124">
        <v>1</v>
      </c>
      <c r="G186" s="124">
        <v>1</v>
      </c>
      <c r="H186" s="124">
        <v>1</v>
      </c>
      <c r="I186" s="124">
        <v>1</v>
      </c>
      <c r="J186" s="121"/>
      <c r="K186" s="115">
        <f>$B$186*12*D186*(1+'costing variables'!$D$3)</f>
        <v>26208000</v>
      </c>
      <c r="L186" s="115">
        <f>$B$186*12*E186*(1+'costing variables'!$D$3)^L224</f>
        <v>26208000</v>
      </c>
      <c r="M186" s="115">
        <f>$B$186*12*F186*(1+'costing variables'!$D$3)^M224</f>
        <v>27256320.000000004</v>
      </c>
      <c r="N186" s="115">
        <f>$B$186*12*G186*(1+'costing variables'!$D$3)^N224</f>
        <v>28346572.800000001</v>
      </c>
      <c r="O186" s="115">
        <f>$B$186*12*H186*(1+'costing variables'!$D$3)^O224</f>
        <v>29480435.712000005</v>
      </c>
      <c r="P186" s="116">
        <f>$B$186*12*I186*(1+'costing variables'!$D$3)^P224</f>
        <v>30659653.140480008</v>
      </c>
    </row>
    <row r="187" spans="1:16" s="31" customFormat="1">
      <c r="A187" s="35" t="s">
        <v>744</v>
      </c>
      <c r="B187" s="77"/>
      <c r="C187" s="121"/>
      <c r="D187" s="115">
        <f>SUM(D188:D198)</f>
        <v>5</v>
      </c>
      <c r="E187" s="115">
        <f t="shared" ref="E187:I187" si="88">SUM(E188:E198)</f>
        <v>5</v>
      </c>
      <c r="F187" s="115">
        <f t="shared" si="88"/>
        <v>7</v>
      </c>
      <c r="G187" s="115">
        <f t="shared" si="88"/>
        <v>9</v>
      </c>
      <c r="H187" s="115">
        <f t="shared" si="88"/>
        <v>9</v>
      </c>
      <c r="I187" s="115">
        <f t="shared" si="88"/>
        <v>9</v>
      </c>
      <c r="J187" s="121"/>
      <c r="K187" s="115">
        <f t="shared" ref="K187:P187" si="89">SUM(K188:K198)</f>
        <v>23580000</v>
      </c>
      <c r="L187" s="115">
        <f t="shared" si="89"/>
        <v>24523200</v>
      </c>
      <c r="M187" s="115">
        <f t="shared" si="89"/>
        <v>36536448.000000007</v>
      </c>
      <c r="N187" s="115">
        <f t="shared" si="89"/>
        <v>53790996.479999989</v>
      </c>
      <c r="O187" s="115">
        <f t="shared" si="89"/>
        <v>55942636.33920002</v>
      </c>
      <c r="P187" s="116">
        <f t="shared" si="89"/>
        <v>57075411.99052801</v>
      </c>
    </row>
    <row r="188" spans="1:16">
      <c r="A188" s="69" t="s">
        <v>745</v>
      </c>
      <c r="B188" s="45">
        <v>620000</v>
      </c>
      <c r="C188" s="120"/>
      <c r="D188" s="103">
        <v>0</v>
      </c>
      <c r="E188" s="103">
        <v>0</v>
      </c>
      <c r="F188" s="103">
        <v>0</v>
      </c>
      <c r="G188" s="103">
        <v>1</v>
      </c>
      <c r="H188" s="103">
        <v>1</v>
      </c>
      <c r="I188" s="103">
        <v>1</v>
      </c>
      <c r="J188" s="120"/>
      <c r="K188" s="103">
        <f>$B$188*12*D188*(1+'costing variables'!$D$3)^K224</f>
        <v>0</v>
      </c>
      <c r="L188" s="103">
        <f>$B$188*12*E188*(1+'costing variables'!$D$3)^L224</f>
        <v>0</v>
      </c>
      <c r="M188" s="103">
        <f>$B$188*12*F188*(1+'costing variables'!$D$3)^M224</f>
        <v>0</v>
      </c>
      <c r="N188" s="103">
        <f>$B$188*12*G188*(1+'costing variables'!$D$3)^N224</f>
        <v>8368988.1600000011</v>
      </c>
      <c r="O188" s="103">
        <f>$B$188*12*H188*(1+'costing variables'!$D$3)^O224</f>
        <v>8703747.6864000019</v>
      </c>
      <c r="P188" s="114">
        <f>$B$188*12*I188*(1+'costing variables'!$D$3)^P224</f>
        <v>9051897.5938560031</v>
      </c>
    </row>
    <row r="189" spans="1:16">
      <c r="A189" s="69" t="s">
        <v>746</v>
      </c>
      <c r="B189" s="45">
        <v>370000</v>
      </c>
      <c r="C189" s="120"/>
      <c r="D189" s="103">
        <v>1</v>
      </c>
      <c r="E189" s="103">
        <v>1</v>
      </c>
      <c r="F189" s="103">
        <v>1</v>
      </c>
      <c r="G189" s="103">
        <v>1</v>
      </c>
      <c r="H189" s="103">
        <v>1</v>
      </c>
      <c r="I189" s="103">
        <v>1</v>
      </c>
      <c r="J189" s="120"/>
      <c r="K189" s="103">
        <f>$B$189*12*D189*(1+'costing variables'!$D$3)^K224</f>
        <v>4440000</v>
      </c>
      <c r="L189" s="103">
        <f>$B$189*12*E189*(1+'costing variables'!$D$3)^L224</f>
        <v>4617600</v>
      </c>
      <c r="M189" s="103">
        <f>$B$189*12*F189*(1+'costing variables'!$D$3)^M224</f>
        <v>4802304.0000000009</v>
      </c>
      <c r="N189" s="103">
        <f>$B$189*12*G189*(1+'costing variables'!$D$3)^N224</f>
        <v>4994396.1600000001</v>
      </c>
      <c r="O189" s="103">
        <f>$B$189*12*H189*(1+'costing variables'!$D$3)^O224</f>
        <v>5194172.0064000012</v>
      </c>
      <c r="P189" s="114">
        <f>$B$189*12*I189*(1+'costing variables'!$D$3)^P224</f>
        <v>5401938.8866560012</v>
      </c>
    </row>
    <row r="190" spans="1:16">
      <c r="A190" s="69" t="s">
        <v>747</v>
      </c>
      <c r="B190" s="45">
        <v>550000</v>
      </c>
      <c r="C190" s="120"/>
      <c r="D190" s="103">
        <v>0</v>
      </c>
      <c r="E190" s="103">
        <v>0</v>
      </c>
      <c r="F190" s="103">
        <v>0</v>
      </c>
      <c r="G190" s="103">
        <v>1</v>
      </c>
      <c r="H190" s="103">
        <v>1</v>
      </c>
      <c r="I190" s="103">
        <v>1</v>
      </c>
      <c r="J190" s="120"/>
      <c r="K190" s="103">
        <f>$B$190*12*D190*(1+'costing variables'!$D$3)^K224</f>
        <v>0</v>
      </c>
      <c r="L190" s="103">
        <f>$B$190*12*E190*(1+'costing variables'!$D$3)^L224</f>
        <v>0</v>
      </c>
      <c r="M190" s="103">
        <f>$B$190*12*F190*(1+'costing variables'!$D$3)^M224</f>
        <v>0</v>
      </c>
      <c r="N190" s="103">
        <f>$B$190*12*G190*(1+'costing variables'!$D$3)^N224</f>
        <v>7424102.4000000004</v>
      </c>
      <c r="O190" s="103">
        <f>$B$190*12*H190*(1+'costing variables'!$D$3)^O224</f>
        <v>7721066.4960000012</v>
      </c>
      <c r="P190" s="114">
        <f>$B$190*12*I190*(1+'costing variables'!$D$3)^P224</f>
        <v>8029909.155840002</v>
      </c>
    </row>
    <row r="191" spans="1:16">
      <c r="A191" s="69" t="s">
        <v>748</v>
      </c>
      <c r="B191" s="45">
        <v>425000</v>
      </c>
      <c r="C191" s="120"/>
      <c r="D191" s="103">
        <v>1</v>
      </c>
      <c r="E191" s="103">
        <v>1</v>
      </c>
      <c r="F191" s="103">
        <v>1</v>
      </c>
      <c r="G191" s="103">
        <v>1</v>
      </c>
      <c r="H191" s="103">
        <v>1</v>
      </c>
      <c r="I191" s="103">
        <v>1</v>
      </c>
      <c r="J191" s="120"/>
      <c r="K191" s="103">
        <f>$B$191*12*D191*(1+'costing variables'!$D$3)^K224</f>
        <v>5100000</v>
      </c>
      <c r="L191" s="103">
        <f>$B$191*12*E191*(1+'costing variables'!$D$3)^L224</f>
        <v>5304000</v>
      </c>
      <c r="M191" s="103">
        <f>$B$191*12*F191*(1+'costing variables'!$D$3)^M224</f>
        <v>5516160.0000000009</v>
      </c>
      <c r="N191" s="103">
        <f>$B$191*12*G191*(1+'costing variables'!$D$3)^N224</f>
        <v>5736806.4000000004</v>
      </c>
      <c r="O191" s="103">
        <f>$B$191*12*H191*(1+'costing variables'!$D$3)^O224</f>
        <v>5966278.6560000014</v>
      </c>
      <c r="P191" s="114">
        <f>$B$191*12*I191*(1+'costing variables'!$D$3)^P224</f>
        <v>6204929.802240002</v>
      </c>
    </row>
    <row r="192" spans="1:16">
      <c r="A192" s="69" t="s">
        <v>749</v>
      </c>
      <c r="B192" s="45">
        <v>425000</v>
      </c>
      <c r="C192" s="120"/>
      <c r="D192" s="103">
        <v>1</v>
      </c>
      <c r="E192" s="103">
        <v>1</v>
      </c>
      <c r="F192" s="103">
        <v>1</v>
      </c>
      <c r="G192" s="103">
        <v>1</v>
      </c>
      <c r="H192" s="103">
        <v>1</v>
      </c>
      <c r="I192" s="103">
        <v>1</v>
      </c>
      <c r="J192" s="120"/>
      <c r="K192" s="103">
        <f>$B$192*12*D192*(1+'costing variables'!$D$3)^K224</f>
        <v>5100000</v>
      </c>
      <c r="L192" s="103">
        <f>$B$192*12*E192*(1+'costing variables'!$D$3)^L224</f>
        <v>5304000</v>
      </c>
      <c r="M192" s="103">
        <f>$B$192*12*F192*(1+'costing variables'!$D$3)^M224</f>
        <v>5516160.0000000009</v>
      </c>
      <c r="N192" s="103">
        <f>$B$192*12*G192*(1+'costing variables'!$D$3)^N224</f>
        <v>5736806.4000000004</v>
      </c>
      <c r="O192" s="103">
        <f>$B$192*12*H192*(1+'costing variables'!$D$3)^O224</f>
        <v>5966278.6560000014</v>
      </c>
      <c r="P192" s="114">
        <f>$B$192*12*I192*(1+'costing variables'!$D$3)^P224</f>
        <v>6204929.802240002</v>
      </c>
    </row>
    <row r="193" spans="1:16">
      <c r="A193" s="69" t="s">
        <v>750</v>
      </c>
      <c r="B193" s="45">
        <v>425000</v>
      </c>
      <c r="C193" s="120"/>
      <c r="D193" s="103">
        <v>0</v>
      </c>
      <c r="E193" s="103">
        <v>0</v>
      </c>
      <c r="F193" s="103">
        <v>1</v>
      </c>
      <c r="G193" s="103">
        <v>1</v>
      </c>
      <c r="H193" s="103">
        <v>1</v>
      </c>
      <c r="I193" s="103">
        <v>1</v>
      </c>
      <c r="J193" s="120"/>
      <c r="K193" s="103">
        <f>$B$193*12*D193*(1+'costing variables'!$D$3)^K224</f>
        <v>0</v>
      </c>
      <c r="L193" s="103">
        <f>$B$193*12*E193*(1+'costing variables'!$D$3)^L224</f>
        <v>0</v>
      </c>
      <c r="M193" s="103">
        <f>$B$193*12*F193*(1+'costing variables'!$D$3)^M224</f>
        <v>5516160.0000000009</v>
      </c>
      <c r="N193" s="103">
        <f>$B$193*12*G193*(1+'costing variables'!$D$3)^N224</f>
        <v>5736806.4000000004</v>
      </c>
      <c r="O193" s="103">
        <f>$B$193*12*H193*(1+'costing variables'!$D$3)^O224</f>
        <v>5966278.6560000014</v>
      </c>
      <c r="P193" s="114">
        <f>$B$193*12*I193*(1+'costing variables'!$D$3)^P224</f>
        <v>6204929.802240002</v>
      </c>
    </row>
    <row r="194" spans="1:16">
      <c r="A194" s="69" t="s">
        <v>751</v>
      </c>
      <c r="B194" s="45">
        <v>425000</v>
      </c>
      <c r="C194" s="120"/>
      <c r="D194" s="103">
        <v>0</v>
      </c>
      <c r="E194" s="103">
        <v>0</v>
      </c>
      <c r="F194" s="103">
        <v>1</v>
      </c>
      <c r="G194" s="103">
        <v>1</v>
      </c>
      <c r="H194" s="103">
        <v>1</v>
      </c>
      <c r="I194" s="103">
        <v>1</v>
      </c>
      <c r="J194" s="120"/>
      <c r="K194" s="103">
        <f>$B$194*12*D194*(1+'costing variables'!$D$3)^K$224</f>
        <v>0</v>
      </c>
      <c r="L194" s="103">
        <f>$B$194*12*E194*(1+'costing variables'!$D$3)^L$224</f>
        <v>0</v>
      </c>
      <c r="M194" s="103">
        <f>$B$194*12*F194*(1+'costing variables'!$D$3)^M$224</f>
        <v>5516160.0000000009</v>
      </c>
      <c r="N194" s="103">
        <f>$B$194*12*G194*(1+'costing variables'!$D$3)^N$224</f>
        <v>5736806.4000000004</v>
      </c>
      <c r="O194" s="103">
        <f>$B$194*12*H194*(1+'costing variables'!$D$3)^O$224</f>
        <v>5966278.6560000014</v>
      </c>
      <c r="P194" s="114">
        <f>$B$194*12*I194*(1+'costing variables'!$D$3)^$J224</f>
        <v>5100000</v>
      </c>
    </row>
    <row r="195" spans="1:16">
      <c r="A195" s="69" t="s">
        <v>752</v>
      </c>
      <c r="B195" s="45">
        <v>425000</v>
      </c>
      <c r="C195" s="120"/>
      <c r="D195" s="103">
        <v>1</v>
      </c>
      <c r="E195" s="103">
        <v>1</v>
      </c>
      <c r="F195" s="103">
        <v>1</v>
      </c>
      <c r="G195" s="103">
        <v>1</v>
      </c>
      <c r="H195" s="103">
        <v>1</v>
      </c>
      <c r="I195" s="103">
        <v>1</v>
      </c>
      <c r="J195" s="120"/>
      <c r="K195" s="103">
        <f>$B195*12*D195*(1+'costing variables'!$D$3)^K$224</f>
        <v>5100000</v>
      </c>
      <c r="L195" s="103">
        <f>$B195*12*E195*(1+'costing variables'!$D$3)^L$224</f>
        <v>5304000</v>
      </c>
      <c r="M195" s="103">
        <f>$B195*12*F195*(1+'costing variables'!$D$3)^M$224</f>
        <v>5516160.0000000009</v>
      </c>
      <c r="N195" s="103">
        <f>$B195*12*G195*(1+'costing variables'!$D$3)^N$224</f>
        <v>5736806.4000000004</v>
      </c>
      <c r="O195" s="103">
        <f>$B195*12*H195*(1+'costing variables'!$D$3)^O$224</f>
        <v>5966278.6560000014</v>
      </c>
      <c r="P195" s="114">
        <f>$B195*12*I195*(1+'costing variables'!$D$3)^P$224</f>
        <v>6204929.802240002</v>
      </c>
    </row>
    <row r="196" spans="1:16">
      <c r="A196" s="69" t="s">
        <v>753</v>
      </c>
      <c r="B196" s="45">
        <v>320000</v>
      </c>
      <c r="C196" s="120"/>
      <c r="D196" s="103">
        <v>1</v>
      </c>
      <c r="E196" s="103">
        <v>1</v>
      </c>
      <c r="F196" s="103">
        <v>1</v>
      </c>
      <c r="G196" s="103">
        <v>1</v>
      </c>
      <c r="H196" s="103">
        <v>1</v>
      </c>
      <c r="I196" s="103">
        <v>1</v>
      </c>
      <c r="J196" s="120"/>
      <c r="K196" s="103">
        <f>$B196*12*D196*(1+'costing variables'!$D$3)^K$224</f>
        <v>3840000</v>
      </c>
      <c r="L196" s="103">
        <f>$B196*12*E196*(1+'costing variables'!$D$3)^L$224</f>
        <v>3993600</v>
      </c>
      <c r="M196" s="103">
        <f>$B196*12*F196*(1+'costing variables'!$D$3)^M$224</f>
        <v>4153344.0000000005</v>
      </c>
      <c r="N196" s="103">
        <f>$B196*12*G196*(1+'costing variables'!$D$3)^N$224</f>
        <v>4319477.7600000007</v>
      </c>
      <c r="O196" s="103">
        <f>$B196*12*H196*(1+'costing variables'!$D$3)^O$224</f>
        <v>4492256.8704000004</v>
      </c>
      <c r="P196" s="114">
        <f>$B196*12*I196*(1+'costing variables'!$D$3)^P$224</f>
        <v>4671947.1452160012</v>
      </c>
    </row>
    <row r="197" spans="1:16">
      <c r="A197" s="69" t="s">
        <v>754</v>
      </c>
      <c r="B197" s="45">
        <v>320000</v>
      </c>
      <c r="C197" s="120"/>
      <c r="D197" s="103"/>
      <c r="E197" s="103"/>
      <c r="F197" s="103"/>
      <c r="G197" s="103"/>
      <c r="H197" s="103"/>
      <c r="I197" s="103"/>
      <c r="J197" s="120"/>
      <c r="K197" s="103">
        <f>$B197*12*D197*(1+'costing variables'!$D$3)^K$224</f>
        <v>0</v>
      </c>
      <c r="L197" s="103">
        <f>$B197*12*E197*(1+'costing variables'!$D$3)^L$224</f>
        <v>0</v>
      </c>
      <c r="M197" s="103">
        <f>$B197*12*F197*(1+'costing variables'!$D$3)^M$224</f>
        <v>0</v>
      </c>
      <c r="N197" s="103">
        <f>$B197*12*G197*(1+'costing variables'!$D$3)^N$224</f>
        <v>0</v>
      </c>
      <c r="O197" s="103">
        <f>$B197*12*H197*(1+'costing variables'!$D$3)^O$224</f>
        <v>0</v>
      </c>
      <c r="P197" s="114">
        <f>$B197*12*I197*(1+'costing variables'!$D$3)^P$224</f>
        <v>0</v>
      </c>
    </row>
    <row r="198" spans="1:16">
      <c r="A198" s="69" t="s">
        <v>755</v>
      </c>
      <c r="B198" s="45"/>
      <c r="C198" s="120"/>
      <c r="D198" s="103"/>
      <c r="E198" s="103"/>
      <c r="F198" s="103"/>
      <c r="G198" s="103"/>
      <c r="H198" s="103"/>
      <c r="I198" s="103"/>
      <c r="J198" s="120"/>
      <c r="K198" s="103">
        <f>$B198*12*D198*(1+'costing variables'!$D$3)^K$224</f>
        <v>0</v>
      </c>
      <c r="L198" s="103">
        <f>$B198*12*E198*(1+'costing variables'!$D$3)^L$224</f>
        <v>0</v>
      </c>
      <c r="M198" s="103">
        <f>$B198*12*F198*(1+'costing variables'!$D$3)^M$224</f>
        <v>0</v>
      </c>
      <c r="N198" s="103">
        <f>$B198*12*G198*(1+'costing variables'!$D$3)^N$224</f>
        <v>0</v>
      </c>
      <c r="O198" s="103">
        <f>$B198*12*H198*(1+'costing variables'!$D$3)^O$224</f>
        <v>0</v>
      </c>
      <c r="P198" s="114">
        <f>$B198*12*I198*(1+'costing variables'!$D$3)^P$224</f>
        <v>0</v>
      </c>
    </row>
    <row r="199" spans="1:16" s="31" customFormat="1">
      <c r="A199" s="35" t="s">
        <v>756</v>
      </c>
      <c r="B199" s="77"/>
      <c r="C199" s="121"/>
      <c r="D199" s="115">
        <f>SUM(D200:D202)</f>
        <v>2</v>
      </c>
      <c r="E199" s="115">
        <f t="shared" ref="E199:I199" si="90">SUM(E200:E202)</f>
        <v>2</v>
      </c>
      <c r="F199" s="115">
        <f t="shared" si="90"/>
        <v>3</v>
      </c>
      <c r="G199" s="115">
        <f t="shared" si="90"/>
        <v>3</v>
      </c>
      <c r="H199" s="115">
        <f t="shared" si="90"/>
        <v>3</v>
      </c>
      <c r="I199" s="115">
        <f t="shared" si="90"/>
        <v>3</v>
      </c>
      <c r="J199" s="121"/>
      <c r="K199" s="115"/>
      <c r="L199" s="115">
        <f>SUM(L200:L202)</f>
        <v>10608000</v>
      </c>
      <c r="M199" s="115">
        <f>SUM(M200:M202)</f>
        <v>17846400.000000004</v>
      </c>
      <c r="N199" s="115">
        <f>SUM(N200:N202)</f>
        <v>18560256</v>
      </c>
      <c r="O199" s="115">
        <f>SUM(O200:O202)</f>
        <v>19302666.240000002</v>
      </c>
      <c r="P199" s="116">
        <f>SUM(P200:P202)</f>
        <v>20074772.889600005</v>
      </c>
    </row>
    <row r="200" spans="1:16" hidden="1">
      <c r="A200" s="117" t="s">
        <v>757</v>
      </c>
      <c r="B200" s="45">
        <v>850000</v>
      </c>
      <c r="C200" s="120"/>
      <c r="D200" s="103"/>
      <c r="E200" s="103"/>
      <c r="F200" s="103"/>
      <c r="G200" s="103"/>
      <c r="H200" s="103"/>
      <c r="I200" s="103"/>
      <c r="J200" s="120"/>
      <c r="K200" s="103">
        <f>$B200*12*D200*(1+'costing variables'!$D$3)^K$224</f>
        <v>0</v>
      </c>
      <c r="L200" s="103">
        <f>$B200*12*E200*(1+'costing variables'!$D$3)^L$224</f>
        <v>0</v>
      </c>
      <c r="M200" s="103">
        <f>$B200*12*F200*(1+'costing variables'!$D$3)^M$224</f>
        <v>0</v>
      </c>
      <c r="N200" s="103">
        <f>$B200*12*G200*(1+'costing variables'!$D$3)^N$224</f>
        <v>0</v>
      </c>
      <c r="O200" s="103">
        <f>$B200*12*H200*(1+'costing variables'!$D$3)^O$224</f>
        <v>0</v>
      </c>
      <c r="P200" s="114">
        <f>$B200*12*I200*(1+'costing variables'!$D$3)^P$224</f>
        <v>0</v>
      </c>
    </row>
    <row r="201" spans="1:16">
      <c r="A201" s="69" t="s">
        <v>758</v>
      </c>
      <c r="B201" s="45">
        <v>525000</v>
      </c>
      <c r="C201" s="120"/>
      <c r="D201" s="103">
        <v>0</v>
      </c>
      <c r="E201" s="103"/>
      <c r="F201" s="103">
        <v>1</v>
      </c>
      <c r="G201" s="103">
        <v>1</v>
      </c>
      <c r="H201" s="103">
        <v>1</v>
      </c>
      <c r="I201" s="103">
        <v>1</v>
      </c>
      <c r="J201" s="120"/>
      <c r="K201" s="103">
        <f>$B201*12*D201*(1+'costing variables'!$D$3)^K$224</f>
        <v>0</v>
      </c>
      <c r="L201" s="103">
        <f>$B201*12*E201*(1+'costing variables'!$D$3)^L$224</f>
        <v>0</v>
      </c>
      <c r="M201" s="103">
        <f>$B201*12*F201*(1+'costing variables'!$D$3)^M$224</f>
        <v>6814080.0000000009</v>
      </c>
      <c r="N201" s="103">
        <f>$B201*12*G201*(1+'costing variables'!$D$3)^N$224</f>
        <v>7086643.2000000002</v>
      </c>
      <c r="O201" s="103">
        <f>$B201*12*H201*(1+'costing variables'!$D$3)^O$224</f>
        <v>7370108.9280000012</v>
      </c>
      <c r="P201" s="114">
        <f>$B201*12*I201*(1+'costing variables'!$D$3)^P$224</f>
        <v>7664913.285120002</v>
      </c>
    </row>
    <row r="202" spans="1:16">
      <c r="A202" s="69" t="s">
        <v>759</v>
      </c>
      <c r="B202" s="45">
        <v>425000</v>
      </c>
      <c r="C202" s="120"/>
      <c r="D202" s="103">
        <v>2</v>
      </c>
      <c r="E202" s="103">
        <v>2</v>
      </c>
      <c r="F202" s="103">
        <v>2</v>
      </c>
      <c r="G202" s="103">
        <v>2</v>
      </c>
      <c r="H202" s="103">
        <v>2</v>
      </c>
      <c r="I202" s="103">
        <v>2</v>
      </c>
      <c r="J202" s="120"/>
      <c r="K202" s="103">
        <f>$B202*12*D202*(1+'costing variables'!$D$3)^K$224</f>
        <v>10200000</v>
      </c>
      <c r="L202" s="103">
        <f>$B202*12*E202*(1+'costing variables'!$D$3)^L$224</f>
        <v>10608000</v>
      </c>
      <c r="M202" s="103">
        <f>$B202*12*F202*(1+'costing variables'!$D$3)^M$224</f>
        <v>11032320.000000002</v>
      </c>
      <c r="N202" s="103">
        <f>$B202*12*G202*(1+'costing variables'!$D$3)^N$224</f>
        <v>11473612.800000001</v>
      </c>
      <c r="O202" s="103">
        <f>$B202*12*H202*(1+'costing variables'!$D$3)^O$224</f>
        <v>11932557.312000003</v>
      </c>
      <c r="P202" s="114">
        <f>$B202*12*I202*(1+'costing variables'!$D$3)^P$224</f>
        <v>12409859.604480004</v>
      </c>
    </row>
    <row r="203" spans="1:16" s="31" customFormat="1">
      <c r="A203" s="35" t="s">
        <v>760</v>
      </c>
      <c r="B203" s="77"/>
      <c r="C203" s="121"/>
      <c r="D203" s="115">
        <f>SUM(D204:D206)</f>
        <v>2</v>
      </c>
      <c r="E203" s="115">
        <f t="shared" ref="E203:I203" si="91">SUM(E204:E206)</f>
        <v>2</v>
      </c>
      <c r="F203" s="115">
        <f t="shared" si="91"/>
        <v>3</v>
      </c>
      <c r="G203" s="115">
        <f t="shared" si="91"/>
        <v>3</v>
      </c>
      <c r="H203" s="115">
        <f t="shared" si="91"/>
        <v>3</v>
      </c>
      <c r="I203" s="115">
        <f t="shared" si="91"/>
        <v>3</v>
      </c>
      <c r="J203" s="121"/>
      <c r="K203" s="115">
        <f t="shared" ref="K203:P203" si="92">SUM(K204:K206)</f>
        <v>10200000</v>
      </c>
      <c r="L203" s="115">
        <f t="shared" si="92"/>
        <v>10608000</v>
      </c>
      <c r="M203" s="115">
        <f t="shared" si="92"/>
        <v>17846400.000000004</v>
      </c>
      <c r="N203" s="115">
        <f t="shared" si="92"/>
        <v>18560256</v>
      </c>
      <c r="O203" s="115">
        <f t="shared" si="92"/>
        <v>19302666.240000002</v>
      </c>
      <c r="P203" s="116">
        <f t="shared" si="92"/>
        <v>20074772.889600005</v>
      </c>
    </row>
    <row r="204" spans="1:16" hidden="1">
      <c r="A204" s="117" t="s">
        <v>757</v>
      </c>
      <c r="B204" s="45">
        <v>850000</v>
      </c>
      <c r="C204" s="120"/>
      <c r="D204" s="103"/>
      <c r="E204" s="103"/>
      <c r="F204" s="103"/>
      <c r="G204" s="103"/>
      <c r="H204" s="103"/>
      <c r="I204" s="103"/>
      <c r="J204" s="120"/>
      <c r="K204" s="103">
        <f>$B204*12*D204*(1+'costing variables'!$D$3)^K$224</f>
        <v>0</v>
      </c>
      <c r="L204" s="103">
        <f>$B204*12*E204*(1+'costing variables'!$D$3)^L$224</f>
        <v>0</v>
      </c>
      <c r="M204" s="103">
        <f>$B204*12*F204*(1+'costing variables'!$D$3)^M$224</f>
        <v>0</v>
      </c>
      <c r="N204" s="103">
        <f>$B204*12*G204*(1+'costing variables'!$D$3)^N$224</f>
        <v>0</v>
      </c>
      <c r="O204" s="103">
        <f>$B204*12*H204*(1+'costing variables'!$D$3)^O$224</f>
        <v>0</v>
      </c>
      <c r="P204" s="114">
        <f>$B204*12*I204*(1+'costing variables'!$D$3)^P$224</f>
        <v>0</v>
      </c>
    </row>
    <row r="205" spans="1:16">
      <c r="A205" s="69" t="s">
        <v>758</v>
      </c>
      <c r="B205" s="45">
        <v>525000</v>
      </c>
      <c r="C205" s="120"/>
      <c r="D205" s="103">
        <v>0</v>
      </c>
      <c r="E205" s="103"/>
      <c r="F205" s="103">
        <v>1</v>
      </c>
      <c r="G205" s="103">
        <v>1</v>
      </c>
      <c r="H205" s="103">
        <v>1</v>
      </c>
      <c r="I205" s="103">
        <v>1</v>
      </c>
      <c r="J205" s="120"/>
      <c r="K205" s="103">
        <f>$B205*12*D205*(1+'costing variables'!$D$3)^K$224</f>
        <v>0</v>
      </c>
      <c r="L205" s="103">
        <f>$B205*12*E205*(1+'costing variables'!$D$3)^L$224</f>
        <v>0</v>
      </c>
      <c r="M205" s="103">
        <f>$B205*12*F205*(1+'costing variables'!$D$3)^M$224</f>
        <v>6814080.0000000009</v>
      </c>
      <c r="N205" s="103">
        <f>$B205*12*G205*(1+'costing variables'!$D$3)^N$224</f>
        <v>7086643.2000000002</v>
      </c>
      <c r="O205" s="103">
        <f>$B205*12*H205*(1+'costing variables'!$D$3)^O$224</f>
        <v>7370108.9280000012</v>
      </c>
      <c r="P205" s="114">
        <f>$B205*12*I205*(1+'costing variables'!$D$3)^P$224</f>
        <v>7664913.285120002</v>
      </c>
    </row>
    <row r="206" spans="1:16">
      <c r="A206" s="69" t="s">
        <v>759</v>
      </c>
      <c r="B206" s="45">
        <v>425000</v>
      </c>
      <c r="C206" s="120"/>
      <c r="D206" s="103">
        <v>2</v>
      </c>
      <c r="E206" s="103">
        <v>2</v>
      </c>
      <c r="F206" s="103">
        <v>2</v>
      </c>
      <c r="G206" s="103">
        <v>2</v>
      </c>
      <c r="H206" s="103">
        <v>2</v>
      </c>
      <c r="I206" s="103">
        <v>2</v>
      </c>
      <c r="J206" s="120"/>
      <c r="K206" s="103">
        <f>$B206*12*D206*(1+'costing variables'!$D$3)^K$224</f>
        <v>10200000</v>
      </c>
      <c r="L206" s="103">
        <f>$B206*12*E206*(1+'costing variables'!$D$3)^L$224</f>
        <v>10608000</v>
      </c>
      <c r="M206" s="103">
        <f>$B206*12*F206*(1+'costing variables'!$D$3)^M$224</f>
        <v>11032320.000000002</v>
      </c>
      <c r="N206" s="103">
        <f>$B206*12*G206*(1+'costing variables'!$D$3)^N$224</f>
        <v>11473612.800000001</v>
      </c>
      <c r="O206" s="103">
        <f>$B206*12*H206*(1+'costing variables'!$D$3)^O$224</f>
        <v>11932557.312000003</v>
      </c>
      <c r="P206" s="114">
        <f>$B206*12*I206*(1+'costing variables'!$D$3)^P$224</f>
        <v>12409859.604480004</v>
      </c>
    </row>
    <row r="207" spans="1:16" s="31" customFormat="1">
      <c r="A207" s="35" t="s">
        <v>761</v>
      </c>
      <c r="B207" s="77"/>
      <c r="C207" s="121"/>
      <c r="D207" s="115">
        <f>SUM(D208:D210)</f>
        <v>2</v>
      </c>
      <c r="E207" s="115">
        <f t="shared" ref="E207:I207" si="93">SUM(E208:E210)</f>
        <v>2</v>
      </c>
      <c r="F207" s="115">
        <f t="shared" si="93"/>
        <v>3</v>
      </c>
      <c r="G207" s="115">
        <f t="shared" si="93"/>
        <v>3</v>
      </c>
      <c r="H207" s="115">
        <f t="shared" si="93"/>
        <v>3</v>
      </c>
      <c r="I207" s="115">
        <f t="shared" si="93"/>
        <v>3</v>
      </c>
      <c r="J207" s="121"/>
      <c r="K207" s="115">
        <f t="shared" ref="K207:P207" si="94">SUM(K208:K210)</f>
        <v>10200000</v>
      </c>
      <c r="L207" s="115">
        <f t="shared" si="94"/>
        <v>10608000</v>
      </c>
      <c r="M207" s="115">
        <f t="shared" si="94"/>
        <v>17846400.000000004</v>
      </c>
      <c r="N207" s="115">
        <f t="shared" si="94"/>
        <v>18560256</v>
      </c>
      <c r="O207" s="115">
        <f t="shared" si="94"/>
        <v>19302666.240000002</v>
      </c>
      <c r="P207" s="116">
        <f t="shared" si="94"/>
        <v>20074772.889600005</v>
      </c>
    </row>
    <row r="208" spans="1:16" hidden="1">
      <c r="A208" s="117" t="s">
        <v>757</v>
      </c>
      <c r="B208" s="45">
        <v>850000</v>
      </c>
      <c r="C208" s="120"/>
      <c r="D208" s="103"/>
      <c r="E208" s="103"/>
      <c r="F208" s="103"/>
      <c r="G208" s="103"/>
      <c r="H208" s="103"/>
      <c r="I208" s="103"/>
      <c r="J208" s="120"/>
      <c r="K208" s="103">
        <f>$B208*12*D208*(1+'costing variables'!$D$3)^K$224</f>
        <v>0</v>
      </c>
      <c r="L208" s="103">
        <f>$B208*12*E208*(1+'costing variables'!$D$3)^L$224</f>
        <v>0</v>
      </c>
      <c r="M208" s="103">
        <f>$B208*12*F208*(1+'costing variables'!$D$3)^M$224</f>
        <v>0</v>
      </c>
      <c r="N208" s="103">
        <f>$B208*12*G208*(1+'costing variables'!$D$3)^N$224</f>
        <v>0</v>
      </c>
      <c r="O208" s="103">
        <f>$B208*12*H208*(1+'costing variables'!$D$3)^O$224</f>
        <v>0</v>
      </c>
      <c r="P208" s="114">
        <f>$B208*12*I208*(1+'costing variables'!$D$3)^P$224</f>
        <v>0</v>
      </c>
    </row>
    <row r="209" spans="1:16">
      <c r="A209" s="69" t="s">
        <v>758</v>
      </c>
      <c r="B209" s="45">
        <v>525000</v>
      </c>
      <c r="C209" s="120"/>
      <c r="D209" s="103">
        <v>0</v>
      </c>
      <c r="E209" s="103"/>
      <c r="F209" s="103">
        <v>1</v>
      </c>
      <c r="G209" s="103">
        <v>1</v>
      </c>
      <c r="H209" s="103">
        <v>1</v>
      </c>
      <c r="I209" s="103">
        <v>1</v>
      </c>
      <c r="J209" s="120"/>
      <c r="K209" s="103">
        <f>$B209*12*D209*(1+'costing variables'!$D$3)^K$224</f>
        <v>0</v>
      </c>
      <c r="L209" s="103">
        <f>$B209*12*E209*(1+'costing variables'!$D$3)^L$224</f>
        <v>0</v>
      </c>
      <c r="M209" s="103">
        <f>$B209*12*F209*(1+'costing variables'!$D$3)^M$224</f>
        <v>6814080.0000000009</v>
      </c>
      <c r="N209" s="103">
        <f>$B209*12*G209*(1+'costing variables'!$D$3)^N$224</f>
        <v>7086643.2000000002</v>
      </c>
      <c r="O209" s="103">
        <f>$B209*12*H209*(1+'costing variables'!$D$3)^O$224</f>
        <v>7370108.9280000012</v>
      </c>
      <c r="P209" s="114">
        <f>$B209*12*I209*(1+'costing variables'!$D$3)^P$224</f>
        <v>7664913.285120002</v>
      </c>
    </row>
    <row r="210" spans="1:16">
      <c r="A210" s="69" t="s">
        <v>759</v>
      </c>
      <c r="B210" s="45">
        <v>425000</v>
      </c>
      <c r="C210" s="120"/>
      <c r="D210" s="103">
        <v>2</v>
      </c>
      <c r="E210" s="103">
        <v>2</v>
      </c>
      <c r="F210" s="103">
        <v>2</v>
      </c>
      <c r="G210" s="103">
        <v>2</v>
      </c>
      <c r="H210" s="103">
        <v>2</v>
      </c>
      <c r="I210" s="103">
        <v>2</v>
      </c>
      <c r="J210" s="120"/>
      <c r="K210" s="103">
        <f>$B210*12*D210*(1+'costing variables'!$D$3)^K$224</f>
        <v>10200000</v>
      </c>
      <c r="L210" s="103">
        <f>$B210*12*E210*(1+'costing variables'!$D$3)^L$224</f>
        <v>10608000</v>
      </c>
      <c r="M210" s="103">
        <f>$B210*12*F210*(1+'costing variables'!$D$3)^M$224</f>
        <v>11032320.000000002</v>
      </c>
      <c r="N210" s="103">
        <f>$B210*12*G210*(1+'costing variables'!$D$3)^N$224</f>
        <v>11473612.800000001</v>
      </c>
      <c r="O210" s="103">
        <f>$B210*12*H210*(1+'costing variables'!$D$3)^O$224</f>
        <v>11932557.312000003</v>
      </c>
      <c r="P210" s="114">
        <f>$B210*12*I210*(1+'costing variables'!$D$3)^P$224</f>
        <v>12409859.604480004</v>
      </c>
    </row>
    <row r="211" spans="1:16" s="31" customFormat="1">
      <c r="A211" s="35" t="s">
        <v>762</v>
      </c>
      <c r="B211" s="77"/>
      <c r="C211" s="121"/>
      <c r="D211" s="115">
        <f>SUM(D212:D214)</f>
        <v>1</v>
      </c>
      <c r="E211" s="115">
        <f t="shared" ref="E211:I211" si="95">SUM(E212:E214)</f>
        <v>1</v>
      </c>
      <c r="F211" s="115">
        <f t="shared" si="95"/>
        <v>1</v>
      </c>
      <c r="G211" s="115">
        <f t="shared" si="95"/>
        <v>2</v>
      </c>
      <c r="H211" s="115">
        <f t="shared" si="95"/>
        <v>2</v>
      </c>
      <c r="I211" s="115">
        <f t="shared" si="95"/>
        <v>2</v>
      </c>
      <c r="J211" s="121"/>
      <c r="K211" s="115">
        <f t="shared" ref="K211:P211" si="96">SUM(K212:K214)</f>
        <v>5100000</v>
      </c>
      <c r="L211" s="115">
        <f t="shared" si="96"/>
        <v>5304000</v>
      </c>
      <c r="M211" s="115">
        <f t="shared" si="96"/>
        <v>5516160.0000000009</v>
      </c>
      <c r="N211" s="115">
        <f t="shared" si="96"/>
        <v>12823449.600000001</v>
      </c>
      <c r="O211" s="115">
        <f t="shared" si="96"/>
        <v>13336387.584000003</v>
      </c>
      <c r="P211" s="116">
        <f t="shared" si="96"/>
        <v>13869843.087360004</v>
      </c>
    </row>
    <row r="212" spans="1:16" hidden="1">
      <c r="A212" s="117" t="s">
        <v>757</v>
      </c>
      <c r="B212" s="45">
        <v>850000</v>
      </c>
      <c r="C212" s="120"/>
      <c r="D212" s="103"/>
      <c r="E212" s="103"/>
      <c r="F212" s="103"/>
      <c r="G212" s="103"/>
      <c r="H212" s="103"/>
      <c r="I212" s="103"/>
      <c r="J212" s="120"/>
      <c r="K212" s="103">
        <f>$B212*12*D212*(1+'costing variables'!$D$3)^K$224</f>
        <v>0</v>
      </c>
      <c r="L212" s="103">
        <f>$B212*12*E212*(1+'costing variables'!$D$3)^L$224</f>
        <v>0</v>
      </c>
      <c r="M212" s="103">
        <f>$B212*12*F212*(1+'costing variables'!$D$3)^M$224</f>
        <v>0</v>
      </c>
      <c r="N212" s="103">
        <f>$B212*12*G212*(1+'costing variables'!$D$3)^N$224</f>
        <v>0</v>
      </c>
      <c r="O212" s="103">
        <f>$B212*12*H212*(1+'costing variables'!$D$3)^O$224</f>
        <v>0</v>
      </c>
      <c r="P212" s="114">
        <f>$B212*12*I212*(1+'costing variables'!$D$3)^P$224</f>
        <v>0</v>
      </c>
    </row>
    <row r="213" spans="1:16">
      <c r="A213" s="69" t="s">
        <v>758</v>
      </c>
      <c r="B213" s="45">
        <v>525000</v>
      </c>
      <c r="C213" s="120"/>
      <c r="D213" s="103"/>
      <c r="E213" s="103"/>
      <c r="F213" s="103"/>
      <c r="G213" s="103">
        <v>1</v>
      </c>
      <c r="H213" s="103">
        <v>1</v>
      </c>
      <c r="I213" s="103">
        <v>1</v>
      </c>
      <c r="J213" s="120"/>
      <c r="K213" s="103">
        <f>$B213*12*D213*(1+'costing variables'!$D$3)^K$224</f>
        <v>0</v>
      </c>
      <c r="L213" s="103">
        <f>$B213*12*E213*(1+'costing variables'!$D$3)^L$224</f>
        <v>0</v>
      </c>
      <c r="M213" s="103">
        <f>$B213*12*F213*(1+'costing variables'!$D$3)^M$224</f>
        <v>0</v>
      </c>
      <c r="N213" s="103">
        <f>$B213*12*G213*(1+'costing variables'!$D$3)^N$224</f>
        <v>7086643.2000000002</v>
      </c>
      <c r="O213" s="103">
        <f>$B213*12*H213*(1+'costing variables'!$D$3)^O$224</f>
        <v>7370108.9280000012</v>
      </c>
      <c r="P213" s="114">
        <f>$B213*12*I213*(1+'costing variables'!$D$3)^P$224</f>
        <v>7664913.285120002</v>
      </c>
    </row>
    <row r="214" spans="1:16">
      <c r="A214" s="69" t="s">
        <v>759</v>
      </c>
      <c r="B214" s="45">
        <v>425000</v>
      </c>
      <c r="C214" s="120"/>
      <c r="D214" s="103">
        <v>1</v>
      </c>
      <c r="E214" s="103">
        <v>1</v>
      </c>
      <c r="F214" s="103">
        <v>1</v>
      </c>
      <c r="G214" s="103">
        <v>1</v>
      </c>
      <c r="H214" s="103">
        <v>1</v>
      </c>
      <c r="I214" s="103">
        <v>1</v>
      </c>
      <c r="J214" s="120"/>
      <c r="K214" s="103">
        <f>$B214*12*D214*(1+'costing variables'!$D$3)^K$224</f>
        <v>5100000</v>
      </c>
      <c r="L214" s="103">
        <f>$B214*12*E214*(1+'costing variables'!$D$3)^L$224</f>
        <v>5304000</v>
      </c>
      <c r="M214" s="103">
        <f>$B214*12*F214*(1+'costing variables'!$D$3)^M$224</f>
        <v>5516160.0000000009</v>
      </c>
      <c r="N214" s="103">
        <f>$B214*12*G214*(1+'costing variables'!$D$3)^N$224</f>
        <v>5736806.4000000004</v>
      </c>
      <c r="O214" s="103">
        <f>$B214*12*H214*(1+'costing variables'!$D$3)^O$224</f>
        <v>5966278.6560000014</v>
      </c>
      <c r="P214" s="114">
        <f>$B214*12*I214*(1+'costing variables'!$D$3)^P$224</f>
        <v>6204929.802240002</v>
      </c>
    </row>
    <row r="215" spans="1:16" s="31" customFormat="1">
      <c r="A215" s="35" t="s">
        <v>763</v>
      </c>
      <c r="B215" s="77"/>
      <c r="C215" s="121"/>
      <c r="D215" s="115">
        <f>SUM(D216:D218)</f>
        <v>2</v>
      </c>
      <c r="E215" s="115">
        <f t="shared" ref="E215:I215" si="97">SUM(E216:E218)</f>
        <v>2</v>
      </c>
      <c r="F215" s="115">
        <f t="shared" si="97"/>
        <v>3</v>
      </c>
      <c r="G215" s="115">
        <f t="shared" si="97"/>
        <v>3</v>
      </c>
      <c r="H215" s="115">
        <f t="shared" si="97"/>
        <v>3</v>
      </c>
      <c r="I215" s="115">
        <f t="shared" si="97"/>
        <v>3</v>
      </c>
      <c r="J215" s="121"/>
      <c r="K215" s="115">
        <f t="shared" ref="K215:P215" si="98">SUM(K216:K218)</f>
        <v>8100000</v>
      </c>
      <c r="L215" s="115">
        <f t="shared" si="98"/>
        <v>8424000</v>
      </c>
      <c r="M215" s="115">
        <f t="shared" si="98"/>
        <v>14277120.000000002</v>
      </c>
      <c r="N215" s="115">
        <f t="shared" si="98"/>
        <v>14848204.800000001</v>
      </c>
      <c r="O215" s="115">
        <f t="shared" si="98"/>
        <v>15442132.992000002</v>
      </c>
      <c r="P215" s="116">
        <f t="shared" si="98"/>
        <v>16059818.311680004</v>
      </c>
    </row>
    <row r="216" spans="1:16" hidden="1">
      <c r="A216" s="117" t="s">
        <v>757</v>
      </c>
      <c r="B216" s="45">
        <v>850000</v>
      </c>
      <c r="C216" s="120"/>
      <c r="D216" s="103"/>
      <c r="E216" s="103"/>
      <c r="F216" s="103"/>
      <c r="G216" s="103"/>
      <c r="H216" s="103"/>
      <c r="I216" s="103"/>
      <c r="J216" s="120"/>
      <c r="K216" s="103">
        <f>$B216*12*D216*(1+'costing variables'!$D$3)^K$224</f>
        <v>0</v>
      </c>
      <c r="L216" s="103">
        <f>$B216*12*E216*(1+'costing variables'!$D$3)^L$224</f>
        <v>0</v>
      </c>
      <c r="M216" s="103">
        <f>$B216*12*F216*(1+'costing variables'!$D$3)^M$224</f>
        <v>0</v>
      </c>
      <c r="N216" s="103">
        <f>$B216*12*G216*(1+'costing variables'!$D$3)^N$224</f>
        <v>0</v>
      </c>
      <c r="O216" s="103">
        <f>$B216*12*H216*(1+'costing variables'!$D$3)^O$224</f>
        <v>0</v>
      </c>
      <c r="P216" s="114">
        <f>$B216*12*I216*(1+'costing variables'!$D$3)^P$224</f>
        <v>0</v>
      </c>
    </row>
    <row r="217" spans="1:16">
      <c r="A217" s="69" t="s">
        <v>764</v>
      </c>
      <c r="B217" s="45">
        <v>425000</v>
      </c>
      <c r="C217" s="120"/>
      <c r="D217" s="103">
        <v>1</v>
      </c>
      <c r="E217" s="103">
        <v>1</v>
      </c>
      <c r="F217" s="103">
        <v>2</v>
      </c>
      <c r="G217" s="103">
        <v>2</v>
      </c>
      <c r="H217" s="103">
        <v>2</v>
      </c>
      <c r="I217" s="103">
        <v>2</v>
      </c>
      <c r="J217" s="120"/>
      <c r="K217" s="103">
        <f>$B217*12*D217*(1+'costing variables'!$D$3)^K$224</f>
        <v>5100000</v>
      </c>
      <c r="L217" s="103">
        <f>$B217*12*E217*(1+'costing variables'!$D$3)^L$224</f>
        <v>5304000</v>
      </c>
      <c r="M217" s="103">
        <f>$B217*12*F217*(1+'costing variables'!$D$3)^M$224</f>
        <v>11032320.000000002</v>
      </c>
      <c r="N217" s="103">
        <f>$B217*12*G217*(1+'costing variables'!$D$3)^N$224</f>
        <v>11473612.800000001</v>
      </c>
      <c r="O217" s="103">
        <f>$B217*12*H217*(1+'costing variables'!$D$3)^O$224</f>
        <v>11932557.312000003</v>
      </c>
      <c r="P217" s="114">
        <f>$B217*12*I217*(1+'costing variables'!$D$3)^P$224</f>
        <v>12409859.604480004</v>
      </c>
    </row>
    <row r="218" spans="1:16">
      <c r="A218" s="69" t="s">
        <v>765</v>
      </c>
      <c r="B218" s="45">
        <v>250000</v>
      </c>
      <c r="C218" s="120"/>
      <c r="D218" s="103">
        <v>1</v>
      </c>
      <c r="E218" s="103">
        <v>1</v>
      </c>
      <c r="F218" s="103">
        <v>1</v>
      </c>
      <c r="G218" s="103">
        <v>1</v>
      </c>
      <c r="H218" s="103">
        <v>1</v>
      </c>
      <c r="I218" s="103">
        <v>1</v>
      </c>
      <c r="J218" s="120"/>
      <c r="K218" s="103">
        <f>$B218*12*D218*(1+'costing variables'!$D$3)^K$224</f>
        <v>3000000</v>
      </c>
      <c r="L218" s="103">
        <f>$B218*12*E218*(1+'costing variables'!$D$3)^L$224</f>
        <v>3120000</v>
      </c>
      <c r="M218" s="103">
        <f>$B218*12*F218*(1+'costing variables'!$D$3)^M$224</f>
        <v>3244800.0000000005</v>
      </c>
      <c r="N218" s="103">
        <f>$B218*12*G218*(1+'costing variables'!$D$3)^N$224</f>
        <v>3374592.0000000005</v>
      </c>
      <c r="O218" s="103">
        <f>$B218*12*H218*(1+'costing variables'!$D$3)^O$224</f>
        <v>3509575.6800000006</v>
      </c>
      <c r="P218" s="114">
        <f>$B218*12*I218*(1+'costing variables'!$D$3)^P$224</f>
        <v>3649958.707200001</v>
      </c>
    </row>
    <row r="219" spans="1:16" s="31" customFormat="1">
      <c r="A219" s="35" t="s">
        <v>766</v>
      </c>
      <c r="B219" s="77"/>
      <c r="C219" s="121"/>
      <c r="D219" s="115">
        <f>SUM(D220:D221)</f>
        <v>0</v>
      </c>
      <c r="E219" s="115">
        <f t="shared" ref="E219:I219" si="99">SUM(E220:E221)</f>
        <v>1</v>
      </c>
      <c r="F219" s="115">
        <f t="shared" si="99"/>
        <v>1</v>
      </c>
      <c r="G219" s="115">
        <f t="shared" si="99"/>
        <v>1</v>
      </c>
      <c r="H219" s="115">
        <f t="shared" si="99"/>
        <v>1</v>
      </c>
      <c r="I219" s="115">
        <f t="shared" si="99"/>
        <v>1</v>
      </c>
      <c r="J219" s="121"/>
      <c r="K219" s="115">
        <f t="shared" ref="K219:P219" si="100">SUM(K220:K221)</f>
        <v>0</v>
      </c>
      <c r="L219" s="115">
        <f t="shared" si="100"/>
        <v>5304000</v>
      </c>
      <c r="M219" s="115">
        <f t="shared" si="100"/>
        <v>5516160.0000000009</v>
      </c>
      <c r="N219" s="115">
        <f t="shared" si="100"/>
        <v>5736806.4000000004</v>
      </c>
      <c r="O219" s="115">
        <f t="shared" si="100"/>
        <v>5966278.6560000014</v>
      </c>
      <c r="P219" s="116">
        <f t="shared" si="100"/>
        <v>6204929.802240002</v>
      </c>
    </row>
    <row r="220" spans="1:16">
      <c r="A220" s="117" t="s">
        <v>757</v>
      </c>
      <c r="B220" s="45">
        <v>825000</v>
      </c>
      <c r="C220" s="120"/>
      <c r="D220" s="103"/>
      <c r="E220" s="103"/>
      <c r="F220" s="103"/>
      <c r="G220" s="103"/>
      <c r="H220" s="103"/>
      <c r="I220" s="103"/>
      <c r="J220" s="120"/>
      <c r="K220" s="103">
        <f>$B220*12*D220*(1+'costing variables'!$D$3)^K$224</f>
        <v>0</v>
      </c>
      <c r="L220" s="103">
        <f>$B220*12*E220*(1+'costing variables'!$D$3)^L$224</f>
        <v>0</v>
      </c>
      <c r="M220" s="103">
        <f>$B220*12*F220*(1+'costing variables'!$D$3)^M$224</f>
        <v>0</v>
      </c>
      <c r="N220" s="103">
        <f>$B220*12*G220*(1+'costing variables'!$D$3)^N$224</f>
        <v>0</v>
      </c>
      <c r="O220" s="103">
        <f>$B220*12*H220*(1+'costing variables'!$D$3)^O$224</f>
        <v>0</v>
      </c>
      <c r="P220" s="114">
        <f>$B220*12*I220*(1+'costing variables'!$D$3)^P$224</f>
        <v>0</v>
      </c>
    </row>
    <row r="221" spans="1:16">
      <c r="A221" s="109" t="s">
        <v>767</v>
      </c>
      <c r="B221" s="111">
        <v>425000</v>
      </c>
      <c r="C221" s="122"/>
      <c r="D221" s="118">
        <v>0</v>
      </c>
      <c r="E221" s="118">
        <v>1</v>
      </c>
      <c r="F221" s="118">
        <v>1</v>
      </c>
      <c r="G221" s="118">
        <v>1</v>
      </c>
      <c r="H221" s="118">
        <v>1</v>
      </c>
      <c r="I221" s="118">
        <v>1</v>
      </c>
      <c r="J221" s="122"/>
      <c r="K221" s="118">
        <f>$B221*12*D221*(1+'costing variables'!$D$3)^K$224</f>
        <v>0</v>
      </c>
      <c r="L221" s="118">
        <f>$B221*12*E221*(1+'costing variables'!$D$3)^L$224</f>
        <v>5304000</v>
      </c>
      <c r="M221" s="118">
        <f>$B221*12*F221*(1+'costing variables'!$D$3)^M$224</f>
        <v>5516160.0000000009</v>
      </c>
      <c r="N221" s="118">
        <f>$B221*12*G221*(1+'costing variables'!$D$3)^N$224</f>
        <v>5736806.4000000004</v>
      </c>
      <c r="O221" s="118">
        <f>$B221*12*H221*(1+'costing variables'!$D$3)^O$224</f>
        <v>5966278.6560000014</v>
      </c>
      <c r="P221" s="119">
        <f>$B221*12*I221*(1+'costing variables'!$D$3)^P$224</f>
        <v>6204929.802240002</v>
      </c>
    </row>
    <row r="222" spans="1:16">
      <c r="D222" s="41"/>
      <c r="E222" s="41"/>
      <c r="F222" s="41"/>
      <c r="G222" s="41"/>
      <c r="H222" s="41"/>
      <c r="I222" s="41"/>
    </row>
    <row r="224" spans="1:16">
      <c r="K224" s="27">
        <v>0</v>
      </c>
      <c r="L224" s="27">
        <v>1</v>
      </c>
      <c r="M224" s="27">
        <v>2</v>
      </c>
      <c r="N224" s="27">
        <v>3</v>
      </c>
      <c r="O224" s="27">
        <v>4</v>
      </c>
      <c r="P224" s="27">
        <v>5</v>
      </c>
    </row>
    <row r="225" spans="1:4">
      <c r="A225" s="31" t="s">
        <v>768</v>
      </c>
    </row>
    <row r="226" spans="1:4">
      <c r="A226" s="31" t="s">
        <v>769</v>
      </c>
    </row>
    <row r="227" spans="1:4">
      <c r="A227" s="27" t="s">
        <v>770</v>
      </c>
      <c r="B227" s="27" t="s">
        <v>771</v>
      </c>
    </row>
    <row r="228" spans="1:4">
      <c r="A228" s="127">
        <v>2800000</v>
      </c>
      <c r="B228" s="27">
        <v>6</v>
      </c>
      <c r="C228" s="126">
        <f>B228*A228</f>
        <v>16800000</v>
      </c>
    </row>
    <row r="229" spans="1:4">
      <c r="A229" s="127">
        <v>1800000</v>
      </c>
      <c r="B229" s="27">
        <v>6</v>
      </c>
      <c r="C229" s="126">
        <f t="shared" ref="C229:C230" si="101">B229*A229</f>
        <v>10800000</v>
      </c>
    </row>
    <row r="230" spans="1:4">
      <c r="A230" s="127">
        <v>1800000</v>
      </c>
      <c r="B230" s="27">
        <v>6</v>
      </c>
      <c r="C230" s="126">
        <f t="shared" si="101"/>
        <v>10800000</v>
      </c>
      <c r="D230" s="125"/>
    </row>
    <row r="231" spans="1:4">
      <c r="A231" s="127"/>
      <c r="C231" s="126">
        <f>B231*A231</f>
        <v>0</v>
      </c>
      <c r="D231" s="125"/>
    </row>
    <row r="232" spans="1:4">
      <c r="C232" s="126">
        <f>SUM(C228:C231)</f>
        <v>38400000</v>
      </c>
      <c r="D232" s="125"/>
    </row>
    <row r="233" spans="1:4">
      <c r="A233" s="31" t="s">
        <v>772</v>
      </c>
      <c r="C233" s="125"/>
      <c r="D233" s="125"/>
    </row>
    <row r="234" spans="1:4">
      <c r="A234" s="27" t="s">
        <v>770</v>
      </c>
      <c r="B234" s="27" t="s">
        <v>771</v>
      </c>
      <c r="C234" s="125"/>
      <c r="D234" s="125"/>
    </row>
    <row r="235" spans="1:4">
      <c r="A235" s="127">
        <v>2800000</v>
      </c>
      <c r="B235" s="125">
        <v>2</v>
      </c>
      <c r="C235" s="126">
        <f>B235*A235</f>
        <v>5600000</v>
      </c>
      <c r="D235" s="125"/>
    </row>
    <row r="236" spans="1:4">
      <c r="A236" s="127">
        <v>1800000</v>
      </c>
      <c r="B236" s="125">
        <v>2.5</v>
      </c>
      <c r="C236" s="126">
        <f t="shared" ref="C236:C237" si="102">B236*A236</f>
        <v>4500000</v>
      </c>
      <c r="D236" s="125"/>
    </row>
    <row r="237" spans="1:4">
      <c r="A237" s="127">
        <v>1800000</v>
      </c>
      <c r="B237" s="125">
        <v>2.5</v>
      </c>
      <c r="C237" s="126">
        <f t="shared" si="102"/>
        <v>4500000</v>
      </c>
      <c r="D237" s="125"/>
    </row>
    <row r="238" spans="1:4">
      <c r="A238" s="127"/>
      <c r="B238" s="126"/>
      <c r="C238" s="126">
        <f>SUM(C235:C237)</f>
        <v>14600000</v>
      </c>
      <c r="D238" s="125"/>
    </row>
    <row r="239" spans="1:4">
      <c r="A239" s="127"/>
      <c r="C239" s="126"/>
      <c r="D239" s="125"/>
    </row>
    <row r="240" spans="1:4">
      <c r="A240" s="125"/>
      <c r="B240" s="125"/>
      <c r="C240" s="126"/>
      <c r="D240" s="125"/>
    </row>
    <row r="241" spans="1:4">
      <c r="A241" s="167" t="s">
        <v>773</v>
      </c>
      <c r="B241" s="125"/>
      <c r="C241" s="126"/>
      <c r="D241" s="125"/>
    </row>
    <row r="242" spans="1:4">
      <c r="A242" s="27" t="s">
        <v>770</v>
      </c>
      <c r="B242" s="27" t="s">
        <v>771</v>
      </c>
      <c r="D242" s="125"/>
    </row>
    <row r="243" spans="1:4">
      <c r="A243" s="127">
        <v>2800000</v>
      </c>
      <c r="B243" s="125">
        <v>3</v>
      </c>
      <c r="C243" s="126">
        <f>B243*A243</f>
        <v>8400000</v>
      </c>
      <c r="D243" s="125"/>
    </row>
    <row r="244" spans="1:4">
      <c r="A244" s="127">
        <v>1800000</v>
      </c>
      <c r="B244" s="125">
        <v>4</v>
      </c>
      <c r="C244" s="126">
        <f t="shared" ref="C244:C245" si="103">B244*A244</f>
        <v>7200000</v>
      </c>
      <c r="D244" s="125"/>
    </row>
    <row r="245" spans="1:4">
      <c r="A245" s="127">
        <v>1800000</v>
      </c>
      <c r="B245" s="125">
        <v>4</v>
      </c>
      <c r="C245" s="126">
        <f t="shared" si="103"/>
        <v>7200000</v>
      </c>
      <c r="D245" s="125"/>
    </row>
    <row r="246" spans="1:4">
      <c r="A246" s="127"/>
      <c r="B246" s="126"/>
      <c r="C246" s="126">
        <f>SUM(C243:C245)</f>
        <v>22800000</v>
      </c>
      <c r="D246" s="125"/>
    </row>
    <row r="247" spans="1:4">
      <c r="C247" s="126"/>
      <c r="D247" s="125"/>
    </row>
    <row r="248" spans="1:4">
      <c r="A248" s="125"/>
      <c r="B248" s="125"/>
      <c r="C248" s="125"/>
      <c r="D248" s="125"/>
    </row>
    <row r="249" spans="1:4">
      <c r="A249" s="125"/>
      <c r="B249" s="125"/>
      <c r="C249" s="125"/>
      <c r="D249" s="125"/>
    </row>
    <row r="250" spans="1:4">
      <c r="A250" s="125"/>
      <c r="B250" s="125"/>
      <c r="C250" s="125"/>
      <c r="D250" s="125"/>
    </row>
  </sheetData>
  <phoneticPr fontId="2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2c9cd0-713d-4a32-8d4c-253d274f9b66">
      <Terms xmlns="http://schemas.microsoft.com/office/infopath/2007/PartnerControls"/>
    </lcf76f155ced4ddcb4097134ff3c332f>
    <TaxCatchAll xmlns="0d54f13c-735a-4abb-8b4f-952f6d23b640" xsi:nil="true"/>
    <SharedWithUsers xmlns="0d54f13c-735a-4abb-8b4f-952f6d23b64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2708018B390FF49B49A9A577A6137E9" ma:contentTypeVersion="14" ma:contentTypeDescription="Kurkite naują dokumentą." ma:contentTypeScope="" ma:versionID="03857a883a079af979e9013423753329">
  <xsd:schema xmlns:xsd="http://www.w3.org/2001/XMLSchema" xmlns:xs="http://www.w3.org/2001/XMLSchema" xmlns:p="http://schemas.microsoft.com/office/2006/metadata/properties" xmlns:ns2="262c9cd0-713d-4a32-8d4c-253d274f9b66" xmlns:ns3="0d54f13c-735a-4abb-8b4f-952f6d23b640" targetNamespace="http://schemas.microsoft.com/office/2006/metadata/properties" ma:root="true" ma:fieldsID="b907d3b6fe0b037be69b20e8792e03fc" ns2:_="" ns3:_="">
    <xsd:import namespace="262c9cd0-713d-4a32-8d4c-253d274f9b66"/>
    <xsd:import namespace="0d54f13c-735a-4abb-8b4f-952f6d23b6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c9cd0-713d-4a32-8d4c-253d274f9b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39303b83-c9f7-4bef-a22d-e1d91a4c5c0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d54f13c-735a-4abb-8b4f-952f6d23b640"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f4135aa4-0b60-4ab3-a41a-250192c73620}" ma:internalName="TaxCatchAll" ma:showField="CatchAllData" ma:web="0d54f13c-735a-4abb-8b4f-952f6d23b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orkbookMetadata xmlns:xsd="http://www.w3.org/2001/XMLSchema" xmlns:xsi="http://www.w3.org/2001/XMLSchema-instance">
  <PresentationID xsi:nil="true"/>
  <DatasetID xsi:nil="true"/>
  <NeedChangeDatasource>false</NeedChangeDatasource>
</WorkbookMetadata>
</file>

<file path=customXml/itemProps1.xml><?xml version="1.0" encoding="utf-8"?>
<ds:datastoreItem xmlns:ds="http://schemas.openxmlformats.org/officeDocument/2006/customXml" ds:itemID="{1C97FE89-1F8C-4D6E-A587-E89950A0A2F8}">
  <ds:schemaRefs>
    <ds:schemaRef ds:uri="http://schemas.microsoft.com/sharepoint/v3/contenttype/forms"/>
  </ds:schemaRefs>
</ds:datastoreItem>
</file>

<file path=customXml/itemProps2.xml><?xml version="1.0" encoding="utf-8"?>
<ds:datastoreItem xmlns:ds="http://schemas.openxmlformats.org/officeDocument/2006/customXml" ds:itemID="{38B0E5DB-0574-4581-BC24-6518325648AC}">
  <ds:schemaRefs>
    <ds:schemaRef ds:uri="http://schemas.microsoft.com/office/2006/metadata/properties"/>
    <ds:schemaRef ds:uri="0d54f13c-735a-4abb-8b4f-952f6d23b640"/>
    <ds:schemaRef ds:uri="http://purl.org/dc/elements/1.1/"/>
    <ds:schemaRef ds:uri="http://schemas.microsoft.com/office/2006/documentManagement/types"/>
    <ds:schemaRef ds:uri="http://www.w3.org/XML/1998/namespace"/>
    <ds:schemaRef ds:uri="http://purl.org/dc/terms/"/>
    <ds:schemaRef ds:uri="262c9cd0-713d-4a32-8d4c-253d274f9b66"/>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124E0BF-BF36-44E6-B3E3-2A3F12F8A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c9cd0-713d-4a32-8d4c-253d274f9b66"/>
    <ds:schemaRef ds:uri="0d54f13c-735a-4abb-8b4f-952f6d23b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3EE7F3-82E9-4274-B10A-F5DA544C9178}">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Արդյունքային շրջանակ</vt:lpstr>
      <vt:lpstr>Գործողությունների ծրագիր</vt:lpstr>
      <vt:lpstr>Ֆինանսավորման ամփոփում</vt:lpstr>
      <vt:lpstr>Indicator Passports</vt:lpstr>
      <vt:lpstr>costing variables</vt:lpstr>
      <vt:lpstr>results indicators calculations</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Qnarik Baghdasaryan</dc:creator>
  <cp:keywords/>
  <dc:description/>
  <cp:lastModifiedBy>Qnarik Baghdasaryan</cp:lastModifiedBy>
  <cp:revision/>
  <dcterms:created xsi:type="dcterms:W3CDTF">2023-06-13T11:02:02Z</dcterms:created>
  <dcterms:modified xsi:type="dcterms:W3CDTF">2025-06-19T15:13:53Z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0x010100D2708018B390FF49B49A9A577A6137E9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